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6.xml" ContentType="application/vnd.openxmlformats-officedocument.spreadsheetml.worksheet+xml"/>
  <Override PartName="/xl/comments3.xml" ContentType="application/vnd.openxmlformats-officedocument.spreadsheetml.comments+xml"/>
  <Override PartName="/xl/theme/theme1.xml" ContentType="application/vnd.openxmlformats-officedocument.theme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Assumptions" sheetId="2" state="visible" r:id="rId4"/>
    <sheet name="Rent Roll" sheetId="3" state="visible" r:id="rId5"/>
    <sheet name="Pro Forma" sheetId="4" state="visible" r:id="rId6"/>
    <sheet name="Sensitivity" sheetId="5" state="visible" r:id="rId7"/>
    <sheet name="Property Fact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3.xml><?xml version="1.0" encoding="utf-8"?>
<comments xmlns="http://schemas.openxmlformats.org/spreadsheetml/2006/main" xmlns:xdr="http://schemas.openxmlformats.org/drawingml/2006/spreadsheetDrawing">
  <authors>
    <author>HQ</author>
  </authors>
  <commentList>
    <comment ref="E6" authorId="0">
      <text>
        <r>
          <rPr>
            <sz val="10"/>
            <rFont val="Arial"/>
            <family val="2"/>
          </rPr>
          <t xml:space="preserve">3BR College Area: RentHop $3,600; Rolando new 3BR $4,195; by-the-bed 3 x $1,350. Use $4,000.</t>
        </r>
      </text>
    </comment>
    <comment ref="E7" authorId="0">
      <text>
        <r>
          <rPr>
            <sz val="10"/>
            <rFont val="Arial"/>
            <family val="2"/>
          </rPr>
          <t xml:space="preserve">Studio/JADU: RentCafe studio $2,008; underwriting range $1,800-2,000.</t>
        </r>
      </text>
    </comment>
    <comment ref="E8" authorId="0">
      <text>
        <r>
          <rPr>
            <sz val="10"/>
            <rFont val="Arial"/>
            <family val="2"/>
          </rPr>
          <t xml:space="preserve">Market 3BR near SDSU: RentHop $3,600; Rolando new 3BR $4,195; by-the-bed 3 x $1,350. Use $4,000. If built as an ADU under the bonus program instead, this unit would be deed-restricted (SDHC rent limit, roughly $3,000).</t>
        </r>
      </text>
    </comment>
    <comment ref="E9" authorId="0">
      <text>
        <r>
          <rPr>
            <sz val="10"/>
            <rFont val="Arial"/>
            <family val="2"/>
          </rPr>
          <t xml:space="preserve">Market 3BR near SDSU: RentHop $3,600; Rolando new 3BR $4,195; by-the-bed 3 x $1,350. Use $4,000. Alternative: 2BR at $2,800.</t>
        </r>
      </text>
    </comment>
    <comment ref="E17" authorId="0">
      <text>
        <r>
          <rPr>
            <sz val="10"/>
            <rFont val="Arial"/>
            <family val="2"/>
          </rPr>
          <t xml:space="preserve">3BR College Area: RentHop $3,600; Rolando new 3BR $4,195; by-the-bed 3 x $1,350. Use $4,000.</t>
        </r>
      </text>
    </comment>
    <comment ref="E18" authorId="0">
      <text>
        <r>
          <rPr>
            <sz val="10"/>
            <rFont val="Arial"/>
            <family val="2"/>
          </rPr>
          <t xml:space="preserve">Studio/JADU: RentCafe studio $2,008; underwriting range $1,800-2,000.</t>
        </r>
      </text>
    </comment>
    <comment ref="E19" authorId="0">
      <text>
        <r>
          <rPr>
            <sz val="10"/>
            <rFont val="Arial"/>
            <family val="2"/>
          </rPr>
          <t xml:space="preserve">Market 3BR near SDSU: RentHop $3,600; Rolando new 3BR $4,195; by-the-bed 3 x $1,350. Use $4,000. If built as an ADU under the bonus program instead, this unit would be deed-restricted (SDHC rent limit, roughly $3,000).</t>
        </r>
      </text>
    </comment>
    <comment ref="E20" authorId="0">
      <text>
        <r>
          <rPr>
            <sz val="10"/>
            <rFont val="Arial"/>
            <family val="2"/>
          </rPr>
          <t xml:space="preserve">Market 3BR near SDSU: RentHop $3,600; Rolando new 3BR $4,195; by-the-bed 3 x $1,350. Use $4,000. Alternative: 2BR at $2,800.</t>
        </r>
      </text>
    </comment>
    <comment ref="G7" authorId="0">
      <text>
        <r>
          <rPr>
            <sz val="10"/>
            <rFont val="Arial"/>
            <family val="2"/>
          </rPr>
          <t xml:space="preserve">Garage conversion $90-150K+ (450 sf x $250 = $112K hard, before soft/fees/contingency).</t>
        </r>
      </text>
    </comment>
    <comment ref="G8" authorId="0">
      <text>
        <r>
          <rPr>
            <sz val="10"/>
            <rFont val="Arial"/>
            <family val="2"/>
          </rPr>
          <t xml:space="preserve">SnapADU 1,000 sf detached ~$425K all-in ($425/sf) Mar 2026; $400/sf hard here because soft, fees and contingency are added separately.</t>
        </r>
      </text>
    </comment>
    <comment ref="G9" authorId="0">
      <text>
        <r>
          <rPr>
            <sz val="10"/>
            <rFont val="Arial"/>
            <family val="2"/>
          </rPr>
          <t xml:space="preserve">Second detached unit ~85% of first (SnapADU). Stacked two-story pair shares foundation/roof.</t>
        </r>
      </text>
    </comment>
    <comment ref="G18" authorId="0">
      <text>
        <r>
          <rPr>
            <sz val="10"/>
            <rFont val="Arial"/>
            <family val="2"/>
          </rPr>
          <t xml:space="preserve">Garage conversion $90-150K+ (450 sf x $250 = $112K hard, before soft/fees/contingency).</t>
        </r>
      </text>
    </comment>
    <comment ref="G19" authorId="0">
      <text>
        <r>
          <rPr>
            <sz val="10"/>
            <rFont val="Arial"/>
            <family val="2"/>
          </rPr>
          <t xml:space="preserve">SnapADU 1,000 sf detached ~$425K all-in ($425/sf) Mar 2026; $400/sf hard here because soft, fees and contingency are added separately.</t>
        </r>
      </text>
    </comment>
    <comment ref="G20" authorId="0">
      <text>
        <r>
          <rPr>
            <sz val="10"/>
            <rFont val="Arial"/>
            <family val="2"/>
          </rPr>
          <t xml:space="preserve">Second detached unit ~85% of first (SnapADU). Stacked two-story pair shares foundation/roof.</t>
        </r>
      </text>
    </comment>
  </commentList>
</comments>
</file>

<file path=xl/sharedStrings.xml><?xml version="1.0" encoding="utf-8"?>
<sst xmlns="http://schemas.openxmlformats.org/spreadsheetml/2006/main" count="341" uniqueCount="285">
  <si>
    <t xml:space="preserve">Curry Dr — Deal Summary (house + 3 new units per lot)</t>
  </si>
  <si>
    <t xml:space="preserve">All values link to the Pro Forma. Change inputs on Assumptions and Rent Roll.</t>
  </si>
  <si>
    <t xml:space="preserve">4901 Curry</t>
  </si>
  <si>
    <t xml:space="preserve">4911 Curry</t>
  </si>
  <si>
    <t xml:space="preserve">Combined</t>
  </si>
  <si>
    <t xml:space="preserve">Purchase price</t>
  </si>
  <si>
    <t xml:space="preserve">Construction budget</t>
  </si>
  <si>
    <t xml:space="preserve">All-in cost basis</t>
  </si>
  <si>
    <t xml:space="preserve">Cash required</t>
  </si>
  <si>
    <t xml:space="preserve">Gross rent (annual)</t>
  </si>
  <si>
    <t xml:space="preserve">NOI (annual)</t>
  </si>
  <si>
    <t xml:space="preserve">Value at cap rate</t>
  </si>
  <si>
    <t xml:space="preserve">Value at $/unit (sales comparison)</t>
  </si>
  <si>
    <t xml:space="preserve">Value at GRM</t>
  </si>
  <si>
    <t xml:space="preserve">Equity created (cap basis)</t>
  </si>
  <si>
    <t xml:space="preserve">Implied max purchase price (break-even)</t>
  </si>
  <si>
    <t xml:space="preserve">Implied max construction budget (break-even)</t>
  </si>
  <si>
    <t xml:space="preserve">Yield on cost</t>
  </si>
  <si>
    <t xml:space="preserve">Development spread</t>
  </si>
  <si>
    <t xml:space="preserve">Refinance loan</t>
  </si>
  <si>
    <t xml:space="preserve">Cash left in after refi</t>
  </si>
  <si>
    <t xml:space="preserve">Cash flow after refi debt service</t>
  </si>
  <si>
    <t xml:space="preserve">DSCR</t>
  </si>
  <si>
    <t xml:space="preserve">Cash-on-cash</t>
  </si>
  <si>
    <t xml:space="preserve">Sell instead: profit</t>
  </si>
  <si>
    <t xml:space="preserve">Sell instead: equity multiple</t>
  </si>
  <si>
    <t xml:space="preserve">As-is cash flow (no construction)</t>
  </si>
  <si>
    <t xml:space="preserve">Key assumptions to verify (yellow cells): purchase price, city fees, loan rates, tax rate, cap rate, restricted-unit rent.</t>
  </si>
  <si>
    <t xml:space="preserve">Sources: MLS 260020218/260020219; CRS reports; SnapADU cost guide Mar 2026; RentCafe/RentHop/Kidder Mathews 2026; DSCR Authority + Freddie PMMS Sept 2026; City IB 400.</t>
  </si>
  <si>
    <t xml:space="preserve">4901 &amp; 4911 Curry Dr, San Diego 92115 — Underwriting Assumptions</t>
  </si>
  <si>
    <t xml:space="preserve">Blue text = input you can change. Yellow = key assumption to verify. Black = formula. Green = pulled from another sheet.</t>
  </si>
  <si>
    <t xml:space="preserve">Prepared 2026-09-09 from MLS 260020218 / 260020219, CRS property reports, and web research (see research/ folder). All figures are estimates until verified.</t>
  </si>
  <si>
    <t xml:space="preserve">PER-LOT INPUTS</t>
  </si>
  <si>
    <t xml:space="preserve">Source / note</t>
  </si>
  <si>
    <t xml:space="preserve">PLACEHOLDER: MLS list price. Travis and James are under contract on both lots; replace with the actual contract price when known.</t>
  </si>
  <si>
    <t xml:space="preserve">Existing-house rehab budget</t>
  </si>
  <si>
    <t xml:space="preserve">Estimate. 4901 shows peeling paint/deferred maintenance in photos and will be vacant; 4911 tenant-occupied, cosmetically better. Verify with inspection.</t>
  </si>
  <si>
    <t xml:space="preserve">Months of house rent lost during construction</t>
  </si>
  <si>
    <t xml:space="preserve">Estimate. Rehab + disruption. 4911 tenant could stay through ADU construction.</t>
  </si>
  <si>
    <t xml:space="preserve">Sitework + utility trenching (per lot)</t>
  </si>
  <si>
    <t xml:space="preserve">SnapADU Mar 2026: sitework ~$35K + utilities $15-30K per project. Corner lot (4901) may need extra frontage work.</t>
  </si>
  <si>
    <t xml:space="preserve">City fees per NEW unit (permits, capacity, school, DIF/CEF)</t>
  </si>
  <si>
    <t xml:space="preserve">Research: $25-45K per ADU. ADU fee waivers (DIF under 750 sf) do NOT apply to by-right dwelling units, which pay full College Area DIF + RTCIP + capacity charges, so a by-right unit could run higher. Get written DSD estimate for both paths.</t>
  </si>
  <si>
    <t xml:space="preserve">SHARED INPUTS (apply to both lots)</t>
  </si>
  <si>
    <t xml:space="preserve">Closing costs (% of price)</t>
  </si>
  <si>
    <t xml:space="preserve">Buyer-side title/escrow/lender fees; transfer tax paid by seller by custom in SD.</t>
  </si>
  <si>
    <t xml:space="preserve">Acquisition loan LTV</t>
  </si>
  <si>
    <t xml:space="preserve">25% down typical for investor 1-4 unit (The Mortgage Reports, Sept 2026).</t>
  </si>
  <si>
    <t xml:space="preserve">Acquisition loan rate</t>
  </si>
  <si>
    <t xml:space="preserve">Investor conventional 7.35-7.85% / DSCR 6.1-7.0% (Sept 2026). Freddie PMMS 6.71% on 9/3/2026.</t>
  </si>
  <si>
    <t xml:space="preserve">Acquisition loan amortization (years)</t>
  </si>
  <si>
    <t xml:space="preserve">Design/engineering/permit soft costs (% of hard)</t>
  </si>
  <si>
    <t xml:space="preserve">SnapADU ~6%; Buildora 4-8%. Excludes City fees (separate line).</t>
  </si>
  <si>
    <t xml:space="preserve">Construction contingency (% of hard+soft)</t>
  </si>
  <si>
    <t xml:space="preserve">MRH Pro recommends 10-15%.</t>
  </si>
  <si>
    <t xml:space="preserve">Construction duration (months)</t>
  </si>
  <si>
    <t xml:space="preserve">Estimate: 4-6 mo design/permits + 8-10 mo build. ADU Geeks feasibility study should refine.</t>
  </si>
  <si>
    <t xml:space="preserve">Lease-up months after completion</t>
  </si>
  <si>
    <t xml:space="preserve">Time SDSU-cycle: deliver before Aug move-in.</t>
  </si>
  <si>
    <t xml:space="preserve">Share of construction budget financed</t>
  </si>
  <si>
    <t xml:space="preserve">Bridge/construction line; balance from cash.</t>
  </si>
  <si>
    <t xml:space="preserve">Construction loan rate</t>
  </si>
  <si>
    <t xml:space="preserve">Bridge 9-12%, DSCR construction 7.75-9.25%, hard money 10-15% (2026).</t>
  </si>
  <si>
    <t xml:space="preserve">Construction loan points</t>
  </si>
  <si>
    <t xml:space="preserve">Estimate 1-3 pts.</t>
  </si>
  <si>
    <t xml:space="preserve">Vacancy &amp; credit loss</t>
  </si>
  <si>
    <t xml:space="preserve">SD County vacancy 5.5% Q2 2026 (Kidder Mathews); student turnover risk.</t>
  </si>
  <si>
    <t xml:space="preserve">Property management (% of EGI)</t>
  </si>
  <si>
    <t xml:space="preserve">6-10% + leasing fees in SD (RMG 2026).</t>
  </si>
  <si>
    <t xml:space="preserve">Repairs &amp; maintenance (% of EGI)</t>
  </si>
  <si>
    <t xml:space="preserve">Blend: new ADUs 3-5%, 1955 house 8-10%.</t>
  </si>
  <si>
    <t xml:space="preserve">Property tax rate (on price + construction cost)</t>
  </si>
  <si>
    <t xml:space="preserve">92115 median effective 1.21% (Ownwell Apr 2026). TRA 08001. Reassessed at sale; new construction added via supplemental assessment.</t>
  </si>
  <si>
    <t xml:space="preserve">Fixed parcel charges per lot (annual)</t>
  </si>
  <si>
    <t xml:space="preserve">Estimate $100-300.</t>
  </si>
  <si>
    <t xml:space="preserve">Insurance per lot (annual, stabilized)</t>
  </si>
  <si>
    <t xml:space="preserve">Estimate $3,500-6,000 for 4-unit lot; CA landlord premiums up ~16% in 2026.</t>
  </si>
  <si>
    <t xml:space="preserve">Owner-paid water/sewer per unit (monthly, net of billback)</t>
  </si>
  <si>
    <t xml:space="preserve">City combined household bill ~$177/mo (2026, +62% by 2029). Submeter and RUBS.</t>
  </si>
  <si>
    <t xml:space="preserve">Trash fee per lot (annual)</t>
  </si>
  <si>
    <t xml:space="preserve">City FY2026 fee $523.20; confirm per lot vs per unit for 4 units.</t>
  </si>
  <si>
    <t xml:space="preserve">Capital reserves per unit (annual)</t>
  </si>
  <si>
    <t xml:space="preserve">Estimate $300-400.</t>
  </si>
  <si>
    <t xml:space="preserve">Landscaping / misc per lot (annual)</t>
  </si>
  <si>
    <t xml:space="preserve">Estimate.</t>
  </si>
  <si>
    <t xml:space="preserve">Exit / valuation cap rate</t>
  </si>
  <si>
    <t xml:space="preserve">County avg 4.7-4.9%; College Area 4-unit student product 5-6%. Key lever.</t>
  </si>
  <si>
    <t xml:space="preserve">Cross-check: sales-comparison value per unit</t>
  </si>
  <si>
    <t xml:space="preserve">College Area 2-4 unit trades: Alumni Pl 2 x 4BR ~$750K/unit; 5+ unit avg $362-398K/unit (ACI/Kidder 2026); SFR+ADU packages appraise ADUs at 50-80% of cost. Placeholder.</t>
  </si>
  <si>
    <t xml:space="preserve">Cross-check gross rent multiplier</t>
  </si>
  <si>
    <t xml:space="preserve">2-4 unit College Area 11-16 GRM (2026 listings).</t>
  </si>
  <si>
    <t xml:space="preserve">Refinance LTV</t>
  </si>
  <si>
    <t xml:space="preserve">DSCR cash-out ~75% max; Fannie 1-unit + up to 3 ADUs allowed from 3/31/2026 with UAD 3.6 appraisal.</t>
  </si>
  <si>
    <t xml:space="preserve">Refinance rate</t>
  </si>
  <si>
    <t xml:space="preserve">DSCR 30-yr 6.1-6.75% + cash-out add-on 0.125-0.375% (Sept 2026).</t>
  </si>
  <si>
    <t xml:space="preserve">Refinance amortization (years)</t>
  </si>
  <si>
    <t xml:space="preserve">Minimum DSCR for refinance</t>
  </si>
  <si>
    <t xml:space="preserve">Lender floor 1.0-1.25x.</t>
  </si>
  <si>
    <t xml:space="preserve">Selling costs if sold at stabilization</t>
  </si>
  <si>
    <t xml:space="preserve">Commission + closing.</t>
  </si>
  <si>
    <t xml:space="preserve">Unit mix and rent roll (blue = change me)</t>
  </si>
  <si>
    <t xml:space="preserve">Default program per lot: keep the 1955 house, convert the attached 2-car garage to a JADU/ADU, add two 3BR units as a stacked two-story pair. City GIS confirms RM-4-10 (13 units/lot by right, zero parking in the TPA, no affordability strings), so the two new units can be by-right dwelling units rather than bonus-program ADUs. Bedroom count is the biggest lever near SDSU (by-the-bed rents). Confirm against the ADU Geeks feasibility study and a DSD ZAPP readout.</t>
  </si>
  <si>
    <t xml:space="preserve">4901 Curry Dr</t>
  </si>
  <si>
    <t xml:space="preserve">Unit</t>
  </si>
  <si>
    <t xml:space="preserve">Type</t>
  </si>
  <si>
    <t xml:space="preserve">Bd/Ba</t>
  </si>
  <si>
    <t xml:space="preserve">SF</t>
  </si>
  <si>
    <t xml:space="preserve">Rent / mo</t>
  </si>
  <si>
    <t xml:space="preserve">New unit?</t>
  </si>
  <si>
    <t xml:space="preserve">Hard $/sf</t>
  </si>
  <si>
    <t xml:space="preserve">Hard cost</t>
  </si>
  <si>
    <t xml:space="preserve">Rent / yr</t>
  </si>
  <si>
    <t xml:space="preserve">1</t>
  </si>
  <si>
    <t xml:space="preserve">Existing house (1955)</t>
  </si>
  <si>
    <t xml:space="preserve">3/2</t>
  </si>
  <si>
    <t xml:space="preserve">2</t>
  </si>
  <si>
    <t xml:space="preserve">Garage conversion JADU</t>
  </si>
  <si>
    <t xml:space="preserve">Studio/1</t>
  </si>
  <si>
    <t xml:space="preserve">3</t>
  </si>
  <si>
    <t xml:space="preserve">New unit A (by-right RM-4-10 dwelling unit)</t>
  </si>
  <si>
    <t xml:space="preserve">4</t>
  </si>
  <si>
    <t xml:space="preserve">New unit B (by-right RM-4-10 dwelling unit)</t>
  </si>
  <si>
    <t xml:space="preserve">Totals</t>
  </si>
  <si>
    <t xml:space="preserve">Existing house rent / mo (unit 1)</t>
  </si>
  <si>
    <t xml:space="preserve">New-construction SF</t>
  </si>
  <si>
    <t xml:space="preserve">4911 Curry Dr</t>
  </si>
  <si>
    <t xml:space="preserve">Stabilized pro forma — house + 3 new units per lot</t>
  </si>
  <si>
    <t xml:space="preserve">Everything here is a formula driven by Assumptions and Rent Roll. Column D = both lots together.</t>
  </si>
  <si>
    <t xml:space="preserve">Note</t>
  </si>
  <si>
    <t xml:space="preserve">ACQUISITION</t>
  </si>
  <si>
    <t xml:space="preserve">Closing costs</t>
  </si>
  <si>
    <t xml:space="preserve">Existing-house rehab</t>
  </si>
  <si>
    <t xml:space="preserve">Acquisition loan</t>
  </si>
  <si>
    <t xml:space="preserve">Down payment</t>
  </si>
  <si>
    <t xml:space="preserve">Acquisition loan payment (monthly P&amp;I)</t>
  </si>
  <si>
    <t xml:space="preserve">CONSTRUCTION BUDGET (3 new units per lot)</t>
  </si>
  <si>
    <t xml:space="preserve">New units</t>
  </si>
  <si>
    <t xml:space="preserve">Hard costs (from Rent Roll)</t>
  </si>
  <si>
    <t xml:space="preserve">Sitework + utilities</t>
  </si>
  <si>
    <t xml:space="preserve">Soft costs (design/eng/permit expediting)</t>
  </si>
  <si>
    <t xml:space="preserve">City fees</t>
  </si>
  <si>
    <t xml:space="preserve">Contingency</t>
  </si>
  <si>
    <t xml:space="preserve">  per new unit</t>
  </si>
  <si>
    <t xml:space="preserve">  per new SF</t>
  </si>
  <si>
    <t xml:space="preserve">CARRY DURING CONSTRUCTION</t>
  </si>
  <si>
    <t xml:space="preserve">Construction loan amount</t>
  </si>
  <si>
    <t xml:space="preserve">Construction interest (avg 50% drawn) + points</t>
  </si>
  <si>
    <t xml:space="preserve">Acquisition loan payments during construction + lease-up</t>
  </si>
  <si>
    <t xml:space="preserve">Taxes + insurance during construction (pre-stabilization)</t>
  </si>
  <si>
    <t xml:space="preserve">Less: existing-house rent collected during construction</t>
  </si>
  <si>
    <t xml:space="preserve">Net carry</t>
  </si>
  <si>
    <t xml:space="preserve">TOTAL PROJECT COST AND CASH REQUIRED</t>
  </si>
  <si>
    <t xml:space="preserve">  per unit (4 units)</t>
  </si>
  <si>
    <t xml:space="preserve">Cash required (equity)</t>
  </si>
  <si>
    <t xml:space="preserve">Down payment + closing + rehab + unfinanced construction + net carry.</t>
  </si>
  <si>
    <t xml:space="preserve">STABILIZED INCOME (annual)</t>
  </si>
  <si>
    <t xml:space="preserve">Gross potential rent</t>
  </si>
  <si>
    <t xml:space="preserve">Effective gross income</t>
  </si>
  <si>
    <t xml:space="preserve">STABILIZED EXPENSES (annual)</t>
  </si>
  <si>
    <t xml:space="preserve">Property taxes (reassessed price + construction cost)</t>
  </si>
  <si>
    <t xml:space="preserve">Prop 13 base resets to purchase price; new construction added at cost.</t>
  </si>
  <si>
    <t xml:space="preserve">Insurance</t>
  </si>
  <si>
    <t xml:space="preserve">Owner-paid water/sewer</t>
  </si>
  <si>
    <t xml:space="preserve">Trash</t>
  </si>
  <si>
    <t xml:space="preserve">Management</t>
  </si>
  <si>
    <t xml:space="preserve">Repairs &amp; maintenance</t>
  </si>
  <si>
    <t xml:space="preserve">Reserves</t>
  </si>
  <si>
    <t xml:space="preserve">Landscaping / misc</t>
  </si>
  <si>
    <t xml:space="preserve">Total operating expenses</t>
  </si>
  <si>
    <t xml:space="preserve">  expense ratio (% of EGI)</t>
  </si>
  <si>
    <t xml:space="preserve">NET OPERATING INCOME</t>
  </si>
  <si>
    <t xml:space="preserve">VALUE AT STABILIZATION</t>
  </si>
  <si>
    <t xml:space="preserve">Cross-check: value at GRM</t>
  </si>
  <si>
    <t xml:space="preserve">Cross-check: value at $/unit (sales comparison)</t>
  </si>
  <si>
    <t xml:space="preserve">  value per unit</t>
  </si>
  <si>
    <t xml:space="preserve">Equity created (value − all-in cost)</t>
  </si>
  <si>
    <t xml:space="preserve">Yield on cost (NOI / all-in cost)</t>
  </si>
  <si>
    <t xml:space="preserve">Implied max purchase price for break-even at cap (approx)</t>
  </si>
  <si>
    <t xml:space="preserve">Purchase price at which value at cap = all-in cost, holding construction constant (ignores small closing/carry effects).</t>
  </si>
  <si>
    <t xml:space="preserve">Implied max construction budget for break-even (approx)</t>
  </si>
  <si>
    <t xml:space="preserve">Construction budget at which value at cap = all-in cost, holding price constant.</t>
  </si>
  <si>
    <t xml:space="preserve">Development spread (yield on cost − cap rate)</t>
  </si>
  <si>
    <t xml:space="preserve">Rule of thumb: want 100-150+ bps for ground-up risk.</t>
  </si>
  <si>
    <t xml:space="preserve">REFINANCE AND HOLD</t>
  </si>
  <si>
    <t xml:space="preserve">Max loan at refinance LTV</t>
  </si>
  <si>
    <t xml:space="preserve">Max loan at minimum DSCR</t>
  </si>
  <si>
    <t xml:space="preserve">Refinance loan (lesser of the two)</t>
  </si>
  <si>
    <t xml:space="preserve">Refinance debt service (annual)</t>
  </si>
  <si>
    <t xml:space="preserve">Payoff: acquisition + construction loans</t>
  </si>
  <si>
    <t xml:space="preserve">Cash returned at refinance</t>
  </si>
  <si>
    <t xml:space="preserve">Negative = you must bring cash to close the refi.</t>
  </si>
  <si>
    <t xml:space="preserve">Cash left in deal after refinance</t>
  </si>
  <si>
    <t xml:space="preserve">Cash flow after debt service (annual)</t>
  </si>
  <si>
    <t xml:space="preserve">DSCR at refinance</t>
  </si>
  <si>
    <t xml:space="preserve">Cash-on-cash on cash left in</t>
  </si>
  <si>
    <t xml:space="preserve">ALTERNATIVE: SELL AT STABILIZATION</t>
  </si>
  <si>
    <t xml:space="preserve">Net sale proceeds after selling costs and loan payoff</t>
  </si>
  <si>
    <t xml:space="preserve">Profit vs cash invested</t>
  </si>
  <si>
    <t xml:space="preserve">Equity multiple</t>
  </si>
  <si>
    <t xml:space="preserve">Profit margin on cost</t>
  </si>
  <si>
    <t xml:space="preserve">AS-IS BASELINE (buy and rent the house only, no construction)</t>
  </si>
  <si>
    <t xml:space="preserve">As-is NOI (house rent, same vacancy/opex ratios)</t>
  </si>
  <si>
    <t xml:space="preserve">Insurance assumed $2,000 for a single house.</t>
  </si>
  <si>
    <t xml:space="preserve">As-is cap rate on price + rehab</t>
  </si>
  <si>
    <t xml:space="preserve">As-is cash flow after acquisition debt service</t>
  </si>
  <si>
    <t xml:space="preserve">Shows why the as-is hold is negative and the units are what make the deal.</t>
  </si>
  <si>
    <t xml:space="preserve">Sensitivity — combined equity created (value at cap − all-in cost)</t>
  </si>
  <si>
    <t xml:space="preserve">Rows: market rent vs. Rent Roll. Columns: construction budget vs. Pro Forma. Carry costs held constant. Restricted-rent unit scales with the same factor for simplicity.</t>
  </si>
  <si>
    <t xml:space="preserve">Rent ↓  /  Construction cost →</t>
  </si>
  <si>
    <t xml:space="preserve">Center cell (100%/100%) should equal Pro Forma combined 'Equity created'. Check:</t>
  </si>
  <si>
    <t xml:space="preserve">Pro Forma equity created</t>
  </si>
  <si>
    <t xml:space="preserve">Sensitivity center cell</t>
  </si>
  <si>
    <t xml:space="preserve">Difference (should be 0)</t>
  </si>
  <si>
    <t xml:space="preserve">Combined value at different cap rates</t>
  </si>
  <si>
    <t xml:space="preserve">Value</t>
  </si>
  <si>
    <t xml:space="preserve">Equity created</t>
  </si>
  <si>
    <t xml:space="preserve">Property facts (from MLS and CRS reports, 2026-09-09)</t>
  </si>
  <si>
    <t xml:space="preserve">MLS #</t>
  </si>
  <si>
    <t xml:space="preserve">260020218 (Listing type EA)</t>
  </si>
  <si>
    <t xml:space="preserve">260020219 (Listing type ER)</t>
  </si>
  <si>
    <t xml:space="preserve">APN</t>
  </si>
  <si>
    <t xml:space="preserve">467-221-10-00</t>
  </si>
  <si>
    <t xml:space="preserve">467-221-09-00</t>
  </si>
  <si>
    <t xml:space="preserve">List price</t>
  </si>
  <si>
    <t xml:space="preserve">$850,000 (orig $850,000)</t>
  </si>
  <si>
    <t xml:space="preserve">List date / status</t>
  </si>
  <si>
    <t xml:space="preserve">8/18/2026, Active, BOM no fault of property, 16 DOM</t>
  </si>
  <si>
    <t xml:space="preserve">Living SF (assessor)</t>
  </si>
  <si>
    <t xml:space="preserve">1,307 ($650/sf at list)</t>
  </si>
  <si>
    <t xml:space="preserve">1,265 ($672/sf at list)</t>
  </si>
  <si>
    <t xml:space="preserve">Bed / bath</t>
  </si>
  <si>
    <t xml:space="preserve">3 / 2</t>
  </si>
  <si>
    <t xml:space="preserve">Year built</t>
  </si>
  <si>
    <t xml:space="preserve">1955</t>
  </si>
  <si>
    <t xml:space="preserve">Stories</t>
  </si>
  <si>
    <t xml:space="preserve">Lot SF</t>
  </si>
  <si>
    <t xml:space="preserve">5,200 (0.12 ac), corner lot at Curry Dr / Catoctin Dr</t>
  </si>
  <si>
    <t xml:space="preserve">5,200 (0.12 ac), interior lot</t>
  </si>
  <si>
    <t xml:space="preserve">Lot dimensions (parcel map)</t>
  </si>
  <si>
    <t xml:space="preserve">approx 104 x 48-50 ft</t>
  </si>
  <si>
    <t xml:space="preserve">approx 104 x 50 ft (Nwly 50 ft of Lots 9 &amp; 10)</t>
  </si>
  <si>
    <t xml:space="preserve">Legal</t>
  </si>
  <si>
    <t xml:space="preserve">Tr 3123 Lots 9 &amp; 10 exc Nwly 50 ft, Dass Manor</t>
  </si>
  <si>
    <t xml:space="preserve">Tr 3123 Lots 9 &amp; 10 Nwly 50 ft, Dass Manor</t>
  </si>
  <si>
    <t xml:space="preserve">Parking</t>
  </si>
  <si>
    <t xml:space="preserve">2-car attached garage + 2 driveway</t>
  </si>
  <si>
    <t xml:space="preserve">Heat / cool</t>
  </si>
  <si>
    <t xml:space="preserve">Forced air, natural gas / none</t>
  </si>
  <si>
    <t xml:space="preserve">Laundry</t>
  </si>
  <si>
    <t xml:space="preserve">Garage</t>
  </si>
  <si>
    <t xml:space="preserve">Sewer</t>
  </si>
  <si>
    <t xml:space="preserve">Sewer connected</t>
  </si>
  <si>
    <t xml:space="preserve">Zoning</t>
  </si>
  <si>
    <t xml:space="preserve">RM-4-10 confirmed on City DSD GIS (Ord. O-22045, College Area CPU, implemented 2/20/2026); TPA yes; SDA yes. County/MLS field R-1 is stale.</t>
  </si>
  <si>
    <t xml:space="preserve">RM-4-10 confirmed on City DSD GIS; TPA yes; SDA yes.</t>
  </si>
  <si>
    <t xml:space="preserve">By-right density</t>
  </si>
  <si>
    <t xml:space="preserve">1 DU / 400 sf = 13 units; 0 parking (TPA); no height limit; FAR 3.6</t>
  </si>
  <si>
    <t xml:space="preserve">13 units; 0 parking; no height limit; FAR 3.6</t>
  </si>
  <si>
    <t xml:space="preserve">Status</t>
  </si>
  <si>
    <t xml:space="preserve">Under contract to Travis George / James Forsberg; contract price TBD (model uses list)</t>
  </si>
  <si>
    <t xml:space="preserve">Occupancy</t>
  </si>
  <si>
    <t xml:space="preserve">Tenant; tenants gave notice, delivered vacant</t>
  </si>
  <si>
    <t xml:space="preserve">Tenant occupied; confirmed appointment required</t>
  </si>
  <si>
    <t xml:space="preserve">Owner (CRS)</t>
  </si>
  <si>
    <t xml:space="preserve">Carter Family Trust B 08-19-94, Cardiff CA; owned since 1994, no mortgages</t>
  </si>
  <si>
    <t xml:space="preserve">2025 assessed value</t>
  </si>
  <si>
    <t xml:space="preserve">$78,252 (land $29,770 / imp $48,482)</t>
  </si>
  <si>
    <t xml:space="preserve">$77,098 (land $27,916 / imp $49,182)</t>
  </si>
  <si>
    <t xml:space="preserve">2025 tax bill</t>
  </si>
  <si>
    <t xml:space="preserve">$1,539</t>
  </si>
  <si>
    <t xml:space="preserve">$1,525</t>
  </si>
  <si>
    <t xml:space="preserve">Est. tax after purchase at list</t>
  </si>
  <si>
    <t xml:space="preserve">about $10,450/yr at 1.2%</t>
  </si>
  <si>
    <t xml:space="preserve">Flood zone</t>
  </si>
  <si>
    <t xml:space="preserve">X (minimal), FIRM 06073C1643J</t>
  </si>
  <si>
    <t xml:space="preserve">Schools</t>
  </si>
  <si>
    <t xml:space="preserve">Dr Bertha Pendleton ES 0.4 mi; Lewis MS 2.2 mi; Henry HS 2.1 mi</t>
  </si>
  <si>
    <t xml:space="preserve">same</t>
  </si>
  <si>
    <t xml:space="preserve">Coordinates</t>
  </si>
  <si>
    <t xml:space="preserve">32.768439, -117.059910</t>
  </si>
  <si>
    <t xml:space="preserve">32.768543, -117.060012</t>
  </si>
  <si>
    <t xml:space="preserve">Listing agent</t>
  </si>
  <si>
    <t xml:space="preserve">David J Keefe, Coldwell Banker West, 619-246-5792 (DRE 01334208); Reema Taila-Keefe 619-504-9697</t>
  </si>
  <si>
    <t xml:space="preserve">Terms</t>
  </si>
  <si>
    <t xml:space="preserve">Cash, Conventional; sold as-is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</si>
</sst>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\$#,##0;&quot;($&quot;#,##0\);\-"/>
    <numFmt numFmtId="166" formatCode="0.0%;\(0.0%\);\-"/>
    <numFmt numFmtId="167" formatCode="0.00\x"/>
    <numFmt numFmtId="168" formatCode="#,##0;\(#,##0\);\-"/>
    <numFmt numFmtId="169" formatCode="0.000%"/>
    <numFmt numFmtId="170" formatCode="0.00%"/>
    <numFmt numFmtId="171" formatCode="0.0\x"/>
    <numFmt numFmtId="172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F3B4A"/>
        <bgColor rgb="FF333300"/>
      </patternFill>
    </fill>
    <fill>
      <patternFill patternType="solid">
        <fgColor rgb="FFFFFF00"/>
        <bgColor rgb="FFFFFF00"/>
      </patternFill>
    </fill>
    <fill>
      <patternFill patternType="solid">
        <fgColor rgb="FFEEF1F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EEF1F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F3B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 pitchFamily="0" charset="1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6"/>
    <col collapsed="false" customWidth="true" hidden="false" outlineLevel="0" max="4" min="2" style="0" width="18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/>
      <c r="B4" s="3" t="s">
        <v>2</v>
      </c>
      <c r="C4" s="3" t="s">
        <v>3</v>
      </c>
      <c r="D4" s="3" t="s">
        <v>4</v>
      </c>
    </row>
    <row r="5" customFormat="false" ht="15" hidden="false" customHeight="false" outlineLevel="0" collapsed="false">
      <c r="A5" s="4" t="s">
        <v>5</v>
      </c>
      <c r="B5" s="5" t="n">
        <f aca="false">'Pro Forma'!B6</f>
        <v>850000</v>
      </c>
      <c r="C5" s="5" t="n">
        <f aca="false">'Pro Forma'!C6</f>
        <v>850000</v>
      </c>
      <c r="D5" s="5" t="n">
        <f aca="false">'Pro Forma'!D6</f>
        <v>1700000</v>
      </c>
    </row>
    <row r="6" customFormat="false" ht="15" hidden="false" customHeight="false" outlineLevel="0" collapsed="false">
      <c r="A6" s="4" t="s">
        <v>6</v>
      </c>
      <c r="B6" s="5" t="n">
        <f aca="false">'Pro Forma'!B20</f>
        <v>1168110</v>
      </c>
      <c r="C6" s="5" t="n">
        <f aca="false">'Pro Forma'!C20</f>
        <v>1168110</v>
      </c>
      <c r="D6" s="5" t="n">
        <f aca="false">'Pro Forma'!D20</f>
        <v>2336220</v>
      </c>
    </row>
    <row r="7" customFormat="false" ht="15" hidden="false" customHeight="false" outlineLevel="0" collapsed="false">
      <c r="A7" s="4" t="s">
        <v>7</v>
      </c>
      <c r="B7" s="5" t="n">
        <f aca="false">'Pro Forma'!B31</f>
        <v>2180576.87389907</v>
      </c>
      <c r="C7" s="5" t="n">
        <f aca="false">'Pro Forma'!C31</f>
        <v>2157576.87389907</v>
      </c>
      <c r="D7" s="5" t="n">
        <f aca="false">'Pro Forma'!D31</f>
        <v>4338153.74779813</v>
      </c>
    </row>
    <row r="8" customFormat="false" ht="15" hidden="false" customHeight="false" outlineLevel="0" collapsed="false">
      <c r="A8" s="4" t="s">
        <v>8</v>
      </c>
      <c r="B8" s="5" t="n">
        <f aca="false">'Pro Forma'!B33</f>
        <v>608588.873899065</v>
      </c>
      <c r="C8" s="5" t="n">
        <f aca="false">'Pro Forma'!C33</f>
        <v>585588.873899065</v>
      </c>
      <c r="D8" s="5" t="n">
        <f aca="false">'Pro Forma'!D33</f>
        <v>1194177.74779813</v>
      </c>
    </row>
    <row r="9" customFormat="false" ht="15" hidden="false" customHeight="false" outlineLevel="0" collapsed="false">
      <c r="A9" s="4" t="s">
        <v>9</v>
      </c>
      <c r="B9" s="5" t="n">
        <f aca="false">'Pro Forma'!B35</f>
        <v>166800</v>
      </c>
      <c r="C9" s="5" t="n">
        <f aca="false">'Pro Forma'!C35</f>
        <v>166800</v>
      </c>
      <c r="D9" s="5" t="n">
        <f aca="false">'Pro Forma'!D35</f>
        <v>333600</v>
      </c>
    </row>
    <row r="10" customFormat="false" ht="15" hidden="false" customHeight="false" outlineLevel="0" collapsed="false">
      <c r="A10" s="4" t="s">
        <v>10</v>
      </c>
      <c r="B10" s="5" t="n">
        <f aca="false">'Pro Forma'!B49</f>
        <v>100366.64</v>
      </c>
      <c r="C10" s="5" t="n">
        <f aca="false">'Pro Forma'!C49</f>
        <v>100546.64</v>
      </c>
      <c r="D10" s="5" t="n">
        <f aca="false">'Pro Forma'!D49</f>
        <v>200913.28</v>
      </c>
    </row>
    <row r="11" customFormat="false" ht="15" hidden="false" customHeight="false" outlineLevel="0" collapsed="false">
      <c r="A11" s="4" t="s">
        <v>11</v>
      </c>
      <c r="B11" s="5" t="n">
        <f aca="false">'Pro Forma'!B51</f>
        <v>1824848</v>
      </c>
      <c r="C11" s="5" t="n">
        <f aca="false">'Pro Forma'!C51</f>
        <v>1828120.72727273</v>
      </c>
      <c r="D11" s="5" t="n">
        <f aca="false">'Pro Forma'!D51</f>
        <v>3652968.72727273</v>
      </c>
    </row>
    <row r="12" customFormat="false" ht="15" hidden="false" customHeight="false" outlineLevel="0" collapsed="false">
      <c r="A12" s="4" t="s">
        <v>12</v>
      </c>
      <c r="B12" s="5" t="n">
        <f aca="false">'Pro Forma'!B53</f>
        <v>1900000</v>
      </c>
      <c r="C12" s="5" t="n">
        <f aca="false">'Pro Forma'!C53</f>
        <v>1900000</v>
      </c>
      <c r="D12" s="5" t="n">
        <f aca="false">'Pro Forma'!D53</f>
        <v>3800000</v>
      </c>
    </row>
    <row r="13" customFormat="false" ht="15" hidden="false" customHeight="false" outlineLevel="0" collapsed="false">
      <c r="A13" s="4" t="s">
        <v>13</v>
      </c>
      <c r="B13" s="5" t="n">
        <f aca="false">'Pro Forma'!B52</f>
        <v>2085000</v>
      </c>
      <c r="C13" s="5" t="n">
        <f aca="false">'Pro Forma'!C52</f>
        <v>2085000</v>
      </c>
      <c r="D13" s="5" t="n">
        <f aca="false">'Pro Forma'!D52</f>
        <v>4170000</v>
      </c>
    </row>
    <row r="14" customFormat="false" ht="15" hidden="false" customHeight="false" outlineLevel="0" collapsed="false">
      <c r="A14" s="4" t="s">
        <v>14</v>
      </c>
      <c r="B14" s="6" t="n">
        <f aca="false">'Pro Forma'!B55</f>
        <v>-355728.873899065</v>
      </c>
      <c r="C14" s="6" t="n">
        <f aca="false">'Pro Forma'!C55</f>
        <v>-329456.146626338</v>
      </c>
      <c r="D14" s="6" t="n">
        <f aca="false">'Pro Forma'!D55</f>
        <v>-685185.020525403</v>
      </c>
    </row>
    <row r="15" customFormat="false" ht="15" hidden="false" customHeight="false" outlineLevel="0" collapsed="false">
      <c r="A15" s="4" t="s">
        <v>15</v>
      </c>
      <c r="B15" s="5" t="n">
        <f aca="false">'Pro Forma'!B57</f>
        <v>494271.126100935</v>
      </c>
      <c r="C15" s="5" t="n">
        <f aca="false">'Pro Forma'!C57</f>
        <v>520543.853373662</v>
      </c>
      <c r="D15" s="5" t="n">
        <f aca="false">'Pro Forma'!D57</f>
        <v>1014814.9794746</v>
      </c>
    </row>
    <row r="16" customFormat="false" ht="15" hidden="false" customHeight="false" outlineLevel="0" collapsed="false">
      <c r="A16" s="4" t="s">
        <v>16</v>
      </c>
      <c r="B16" s="5" t="n">
        <f aca="false">'Pro Forma'!B58</f>
        <v>812381.126100935</v>
      </c>
      <c r="C16" s="5" t="n">
        <f aca="false">'Pro Forma'!C58</f>
        <v>838653.853373662</v>
      </c>
      <c r="D16" s="5" t="n">
        <f aca="false">'Pro Forma'!D58</f>
        <v>1651034.9794746</v>
      </c>
    </row>
    <row r="17" customFormat="false" ht="15" hidden="false" customHeight="false" outlineLevel="0" collapsed="false">
      <c r="A17" s="4" t="s">
        <v>17</v>
      </c>
      <c r="B17" s="7" t="n">
        <f aca="false">'Pro Forma'!B56</f>
        <v>0.0460275632569356</v>
      </c>
      <c r="C17" s="7" t="n">
        <f aca="false">'Pro Forma'!C56</f>
        <v>0.0466016489221527</v>
      </c>
      <c r="D17" s="7" t="n">
        <f aca="false">'Pro Forma'!D56</f>
        <v>0.0463130842474118</v>
      </c>
    </row>
    <row r="18" customFormat="false" ht="15" hidden="false" customHeight="false" outlineLevel="0" collapsed="false">
      <c r="A18" s="4" t="s">
        <v>18</v>
      </c>
      <c r="B18" s="7" t="n">
        <f aca="false">'Pro Forma'!B59</f>
        <v>-0.00897243674306444</v>
      </c>
      <c r="C18" s="7" t="n">
        <f aca="false">'Pro Forma'!C59</f>
        <v>-0.00839835107784728</v>
      </c>
      <c r="D18" s="7" t="n">
        <f aca="false">'Pro Forma'!D59</f>
        <v>-0.00868691575258821</v>
      </c>
    </row>
    <row r="19" customFormat="false" ht="15" hidden="false" customHeight="false" outlineLevel="0" collapsed="false">
      <c r="A19" s="4" t="s">
        <v>19</v>
      </c>
      <c r="B19" s="5" t="n">
        <f aca="false">'Pro Forma'!B63</f>
        <v>1074610.85569537</v>
      </c>
      <c r="C19" s="5" t="n">
        <f aca="false">'Pro Forma'!C63</f>
        <v>1076538.0892266</v>
      </c>
      <c r="D19" s="5" t="n">
        <f aca="false">'Pro Forma'!D63</f>
        <v>2151148.94492196</v>
      </c>
    </row>
    <row r="20" customFormat="false" ht="15" hidden="false" customHeight="false" outlineLevel="0" collapsed="false">
      <c r="A20" s="4" t="s">
        <v>20</v>
      </c>
      <c r="B20" s="6" t="n">
        <f aca="false">'Pro Forma'!B67</f>
        <v>1105966.0182037</v>
      </c>
      <c r="C20" s="6" t="n">
        <f aca="false">'Pro Forma'!C67</f>
        <v>1081038.78467247</v>
      </c>
      <c r="D20" s="6" t="n">
        <f aca="false">'Pro Forma'!D67</f>
        <v>2187004.80287617</v>
      </c>
    </row>
    <row r="21" customFormat="false" ht="15" hidden="false" customHeight="false" outlineLevel="0" collapsed="false">
      <c r="A21" s="4" t="s">
        <v>21</v>
      </c>
      <c r="B21" s="5" t="n">
        <f aca="false">'Pro Forma'!B68</f>
        <v>16727.7733333334</v>
      </c>
      <c r="C21" s="5" t="n">
        <f aca="false">'Pro Forma'!C68</f>
        <v>16757.7733333334</v>
      </c>
      <c r="D21" s="5" t="n">
        <f aca="false">'Pro Forma'!D68</f>
        <v>33485.5466666668</v>
      </c>
    </row>
    <row r="22" customFormat="false" ht="15" hidden="false" customHeight="false" outlineLevel="0" collapsed="false">
      <c r="A22" s="4" t="s">
        <v>22</v>
      </c>
      <c r="B22" s="8" t="n">
        <f aca="false">'Pro Forma'!B69</f>
        <v>1.2</v>
      </c>
      <c r="C22" s="8" t="n">
        <f aca="false">'Pro Forma'!C69</f>
        <v>1.2</v>
      </c>
      <c r="D22" s="8" t="n">
        <f aca="false">'Pro Forma'!D69</f>
        <v>1.2</v>
      </c>
    </row>
    <row r="23" customFormat="false" ht="15" hidden="false" customHeight="false" outlineLevel="0" collapsed="false">
      <c r="A23" s="4" t="s">
        <v>23</v>
      </c>
      <c r="B23" s="9" t="n">
        <f aca="false">'Pro Forma'!B70</f>
        <v>0.0151250337334075</v>
      </c>
      <c r="C23" s="9" t="n">
        <f aca="false">'Pro Forma'!C70</f>
        <v>0.0155015468186099</v>
      </c>
      <c r="D23" s="9" t="n">
        <f aca="false">'Pro Forma'!D70</f>
        <v>0.0153111445492161</v>
      </c>
    </row>
    <row r="24" customFormat="false" ht="15" hidden="false" customHeight="false" outlineLevel="0" collapsed="false">
      <c r="A24" s="4" t="s">
        <v>24</v>
      </c>
      <c r="B24" s="5" t="n">
        <f aca="false">'Pro Forma'!B73</f>
        <v>-465219.753899065</v>
      </c>
      <c r="C24" s="5" t="n">
        <f aca="false">'Pro Forma'!C73</f>
        <v>-439143.390262701</v>
      </c>
      <c r="D24" s="5" t="n">
        <f aca="false">'Pro Forma'!D73</f>
        <v>-904363.144161766</v>
      </c>
    </row>
    <row r="25" customFormat="false" ht="15" hidden="false" customHeight="false" outlineLevel="0" collapsed="false">
      <c r="A25" s="4" t="s">
        <v>25</v>
      </c>
      <c r="B25" s="8" t="n">
        <f aca="false">'Pro Forma'!B74</f>
        <v>0.235576307995039</v>
      </c>
      <c r="C25" s="8" t="n">
        <f aca="false">'Pro Forma'!C74</f>
        <v>0.250082421582357</v>
      </c>
      <c r="D25" s="8" t="n">
        <f aca="false">'Pro Forma'!D74</f>
        <v>0.242689670085324</v>
      </c>
    </row>
    <row r="26" customFormat="false" ht="15" hidden="false" customHeight="false" outlineLevel="0" collapsed="false">
      <c r="A26" s="4" t="s">
        <v>26</v>
      </c>
      <c r="B26" s="5" t="n">
        <f aca="false">'Pro Forma'!B79</f>
        <v>-28923.8854242987</v>
      </c>
      <c r="C26" s="5" t="n">
        <f aca="false">'Pro Forma'!C79</f>
        <v>-28743.8854242987</v>
      </c>
      <c r="D26" s="5" t="n">
        <f aca="false">'Pro Forma'!D79</f>
        <v>-57667.7708485974</v>
      </c>
    </row>
    <row r="32" customFormat="false" ht="15" hidden="false" customHeight="false" outlineLevel="0" collapsed="false">
      <c r="A32" s="2" t="s">
        <v>27</v>
      </c>
    </row>
    <row r="33" customFormat="false" ht="15" hidden="false" customHeight="false" outlineLevel="0" collapsed="false">
      <c r="A33" s="2" t="s">
        <v>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6"/>
    <col collapsed="false" customWidth="true" hidden="false" outlineLevel="0" max="3" min="2" style="0" width="16"/>
    <col collapsed="false" customWidth="true" hidden="false" outlineLevel="0" max="4" min="4" style="0" width="90"/>
  </cols>
  <sheetData>
    <row r="1" customFormat="false" ht="17.35" hidden="false" customHeight="false" outlineLevel="0" collapsed="false">
      <c r="A1" s="1" t="s">
        <v>29</v>
      </c>
    </row>
    <row r="2" customFormat="false" ht="15" hidden="false" customHeight="false" outlineLevel="0" collapsed="false">
      <c r="A2" s="2" t="s">
        <v>30</v>
      </c>
    </row>
    <row r="3" customFormat="false" ht="15" hidden="false" customHeight="false" outlineLevel="0" collapsed="false">
      <c r="A3" s="2" t="s">
        <v>31</v>
      </c>
    </row>
    <row r="5" customFormat="false" ht="15" hidden="false" customHeight="false" outlineLevel="0" collapsed="false">
      <c r="A5" s="3" t="s">
        <v>32</v>
      </c>
      <c r="B5" s="3" t="s">
        <v>2</v>
      </c>
      <c r="C5" s="3" t="s">
        <v>3</v>
      </c>
      <c r="D5" s="3" t="s">
        <v>33</v>
      </c>
    </row>
    <row r="6" customFormat="false" ht="15" hidden="false" customHeight="false" outlineLevel="0" collapsed="false">
      <c r="A6" s="4" t="s">
        <v>5</v>
      </c>
      <c r="B6" s="10" t="n">
        <v>850000</v>
      </c>
      <c r="C6" s="10" t="n">
        <v>850000</v>
      </c>
      <c r="D6" s="2" t="s">
        <v>34</v>
      </c>
    </row>
    <row r="7" customFormat="false" ht="15" hidden="false" customHeight="false" outlineLevel="0" collapsed="false">
      <c r="A7" s="4" t="s">
        <v>35</v>
      </c>
      <c r="B7" s="10" t="n">
        <v>35000</v>
      </c>
      <c r="C7" s="10" t="n">
        <v>20000</v>
      </c>
      <c r="D7" s="2" t="s">
        <v>36</v>
      </c>
    </row>
    <row r="8" customFormat="false" ht="15" hidden="false" customHeight="false" outlineLevel="0" collapsed="false">
      <c r="A8" s="4" t="s">
        <v>37</v>
      </c>
      <c r="B8" s="11" t="n">
        <v>4</v>
      </c>
      <c r="C8" s="11" t="n">
        <v>2</v>
      </c>
      <c r="D8" s="2" t="s">
        <v>38</v>
      </c>
    </row>
    <row r="9" customFormat="false" ht="15" hidden="false" customHeight="false" outlineLevel="0" collapsed="false">
      <c r="A9" s="4" t="s">
        <v>39</v>
      </c>
      <c r="B9" s="12" t="n">
        <v>55000</v>
      </c>
      <c r="C9" s="12" t="n">
        <v>55000</v>
      </c>
      <c r="D9" s="2" t="s">
        <v>40</v>
      </c>
    </row>
    <row r="10" customFormat="false" ht="15" hidden="false" customHeight="false" outlineLevel="0" collapsed="false">
      <c r="A10" s="4" t="s">
        <v>41</v>
      </c>
      <c r="B10" s="10" t="n">
        <v>30000</v>
      </c>
      <c r="C10" s="10" t="n">
        <v>30000</v>
      </c>
      <c r="D10" s="2" t="s">
        <v>42</v>
      </c>
    </row>
    <row r="12" customFormat="false" ht="15" hidden="false" customHeight="false" outlineLevel="0" collapsed="false">
      <c r="A12" s="3" t="s">
        <v>43</v>
      </c>
      <c r="B12" s="13"/>
      <c r="C12" s="13"/>
      <c r="D12" s="13"/>
    </row>
    <row r="13" customFormat="false" ht="15" hidden="false" customHeight="false" outlineLevel="0" collapsed="false">
      <c r="A13" s="4" t="s">
        <v>44</v>
      </c>
      <c r="B13" s="14" t="n">
        <v>0.015</v>
      </c>
      <c r="D13" s="2" t="s">
        <v>45</v>
      </c>
    </row>
    <row r="14" customFormat="false" ht="15" hidden="false" customHeight="false" outlineLevel="0" collapsed="false">
      <c r="A14" s="4" t="s">
        <v>46</v>
      </c>
      <c r="B14" s="14" t="n">
        <v>0.75</v>
      </c>
      <c r="D14" s="2" t="s">
        <v>47</v>
      </c>
    </row>
    <row r="15" customFormat="false" ht="15" hidden="false" customHeight="false" outlineLevel="0" collapsed="false">
      <c r="A15" s="4" t="s">
        <v>48</v>
      </c>
      <c r="B15" s="15" t="n">
        <v>0.0725</v>
      </c>
      <c r="D15" s="2" t="s">
        <v>49</v>
      </c>
    </row>
    <row r="16" customFormat="false" ht="15" hidden="false" customHeight="false" outlineLevel="0" collapsed="false">
      <c r="A16" s="4" t="s">
        <v>50</v>
      </c>
      <c r="B16" s="11" t="n">
        <v>30</v>
      </c>
      <c r="D16" s="2"/>
    </row>
    <row r="17" customFormat="false" ht="15" hidden="false" customHeight="false" outlineLevel="0" collapsed="false">
      <c r="A17" s="4" t="s">
        <v>51</v>
      </c>
      <c r="B17" s="14" t="n">
        <v>0.08</v>
      </c>
      <c r="D17" s="2" t="s">
        <v>52</v>
      </c>
    </row>
    <row r="18" customFormat="false" ht="15" hidden="false" customHeight="false" outlineLevel="0" collapsed="false">
      <c r="A18" s="4" t="s">
        <v>53</v>
      </c>
      <c r="B18" s="14" t="n">
        <v>0.1</v>
      </c>
      <c r="D18" s="2" t="s">
        <v>54</v>
      </c>
    </row>
    <row r="19" customFormat="false" ht="15" hidden="false" customHeight="false" outlineLevel="0" collapsed="false">
      <c r="A19" s="4" t="s">
        <v>55</v>
      </c>
      <c r="B19" s="11" t="n">
        <v>14</v>
      </c>
      <c r="D19" s="2" t="s">
        <v>56</v>
      </c>
    </row>
    <row r="20" customFormat="false" ht="15" hidden="false" customHeight="false" outlineLevel="0" collapsed="false">
      <c r="A20" s="4" t="s">
        <v>57</v>
      </c>
      <c r="B20" s="11" t="n">
        <v>2</v>
      </c>
      <c r="D20" s="2" t="s">
        <v>58</v>
      </c>
    </row>
    <row r="21" customFormat="false" ht="15" hidden="false" customHeight="false" outlineLevel="0" collapsed="false">
      <c r="A21" s="4" t="s">
        <v>59</v>
      </c>
      <c r="B21" s="14" t="n">
        <v>0.8</v>
      </c>
      <c r="D21" s="2" t="s">
        <v>60</v>
      </c>
    </row>
    <row r="22" customFormat="false" ht="15" hidden="false" customHeight="false" outlineLevel="0" collapsed="false">
      <c r="A22" s="4" t="s">
        <v>61</v>
      </c>
      <c r="B22" s="16" t="n">
        <v>0.1</v>
      </c>
      <c r="D22" s="2" t="s">
        <v>62</v>
      </c>
    </row>
    <row r="23" customFormat="false" ht="15" hidden="false" customHeight="false" outlineLevel="0" collapsed="false">
      <c r="A23" s="4" t="s">
        <v>63</v>
      </c>
      <c r="B23" s="14" t="n">
        <v>0.02</v>
      </c>
      <c r="D23" s="2" t="s">
        <v>64</v>
      </c>
    </row>
    <row r="24" customFormat="false" ht="15" hidden="false" customHeight="false" outlineLevel="0" collapsed="false">
      <c r="A24" s="4" t="s">
        <v>65</v>
      </c>
      <c r="B24" s="14" t="n">
        <v>0.06</v>
      </c>
      <c r="D24" s="2" t="s">
        <v>66</v>
      </c>
    </row>
    <row r="25" customFormat="false" ht="15" hidden="false" customHeight="false" outlineLevel="0" collapsed="false">
      <c r="A25" s="4" t="s">
        <v>67</v>
      </c>
      <c r="B25" s="14" t="n">
        <v>0.07</v>
      </c>
      <c r="D25" s="2" t="s">
        <v>68</v>
      </c>
    </row>
    <row r="26" customFormat="false" ht="15" hidden="false" customHeight="false" outlineLevel="0" collapsed="false">
      <c r="A26" s="4" t="s">
        <v>69</v>
      </c>
      <c r="B26" s="14" t="n">
        <v>0.05</v>
      </c>
      <c r="D26" s="2" t="s">
        <v>70</v>
      </c>
    </row>
    <row r="27" customFormat="false" ht="15" hidden="false" customHeight="false" outlineLevel="0" collapsed="false">
      <c r="A27" s="4" t="s">
        <v>71</v>
      </c>
      <c r="B27" s="16" t="n">
        <v>0.012</v>
      </c>
      <c r="D27" s="2" t="s">
        <v>72</v>
      </c>
    </row>
    <row r="28" customFormat="false" ht="15" hidden="false" customHeight="false" outlineLevel="0" collapsed="false">
      <c r="A28" s="4" t="s">
        <v>73</v>
      </c>
      <c r="B28" s="12" t="n">
        <v>250</v>
      </c>
      <c r="D28" s="2" t="s">
        <v>74</v>
      </c>
    </row>
    <row r="29" customFormat="false" ht="15" hidden="false" customHeight="false" outlineLevel="0" collapsed="false">
      <c r="A29" s="4" t="s">
        <v>75</v>
      </c>
      <c r="B29" s="12" t="n">
        <v>4500</v>
      </c>
      <c r="D29" s="2" t="s">
        <v>76</v>
      </c>
    </row>
    <row r="30" customFormat="false" ht="15" hidden="false" customHeight="false" outlineLevel="0" collapsed="false">
      <c r="A30" s="4" t="s">
        <v>77</v>
      </c>
      <c r="B30" s="12" t="n">
        <v>100</v>
      </c>
      <c r="D30" s="2" t="s">
        <v>78</v>
      </c>
    </row>
    <row r="31" customFormat="false" ht="15" hidden="false" customHeight="false" outlineLevel="0" collapsed="false">
      <c r="A31" s="4" t="s">
        <v>79</v>
      </c>
      <c r="B31" s="12" t="n">
        <v>523</v>
      </c>
      <c r="D31" s="2" t="s">
        <v>80</v>
      </c>
    </row>
    <row r="32" customFormat="false" ht="15" hidden="false" customHeight="false" outlineLevel="0" collapsed="false">
      <c r="A32" s="4" t="s">
        <v>81</v>
      </c>
      <c r="B32" s="12" t="n">
        <v>350</v>
      </c>
      <c r="D32" s="2" t="s">
        <v>82</v>
      </c>
    </row>
    <row r="33" customFormat="false" ht="15" hidden="false" customHeight="false" outlineLevel="0" collapsed="false">
      <c r="A33" s="4" t="s">
        <v>83</v>
      </c>
      <c r="B33" s="12" t="n">
        <v>1500</v>
      </c>
      <c r="D33" s="2" t="s">
        <v>84</v>
      </c>
    </row>
    <row r="34" customFormat="false" ht="15" hidden="false" customHeight="false" outlineLevel="0" collapsed="false">
      <c r="A34" s="4" t="s">
        <v>85</v>
      </c>
      <c r="B34" s="16" t="n">
        <v>0.055</v>
      </c>
      <c r="D34" s="2" t="s">
        <v>86</v>
      </c>
    </row>
    <row r="35" customFormat="false" ht="15" hidden="false" customHeight="false" outlineLevel="0" collapsed="false">
      <c r="A35" s="4" t="s">
        <v>87</v>
      </c>
      <c r="B35" s="10" t="n">
        <v>475000</v>
      </c>
      <c r="D35" s="2" t="s">
        <v>88</v>
      </c>
    </row>
    <row r="36" customFormat="false" ht="15" hidden="false" customHeight="false" outlineLevel="0" collapsed="false">
      <c r="A36" s="4" t="s">
        <v>89</v>
      </c>
      <c r="B36" s="17" t="n">
        <v>12.5</v>
      </c>
      <c r="D36" s="2" t="s">
        <v>90</v>
      </c>
    </row>
    <row r="37" customFormat="false" ht="15" hidden="false" customHeight="false" outlineLevel="0" collapsed="false">
      <c r="A37" s="4" t="s">
        <v>91</v>
      </c>
      <c r="B37" s="14" t="n">
        <v>0.7</v>
      </c>
      <c r="D37" s="2" t="s">
        <v>92</v>
      </c>
    </row>
    <row r="38" customFormat="false" ht="15" hidden="false" customHeight="false" outlineLevel="0" collapsed="false">
      <c r="A38" s="4" t="s">
        <v>93</v>
      </c>
      <c r="B38" s="15" t="n">
        <v>0.0675</v>
      </c>
      <c r="D38" s="2" t="s">
        <v>94</v>
      </c>
    </row>
    <row r="39" customFormat="false" ht="15" hidden="false" customHeight="false" outlineLevel="0" collapsed="false">
      <c r="A39" s="4" t="s">
        <v>95</v>
      </c>
      <c r="B39" s="11" t="n">
        <v>30</v>
      </c>
      <c r="D39" s="2"/>
    </row>
    <row r="40" customFormat="false" ht="15" hidden="false" customHeight="false" outlineLevel="0" collapsed="false">
      <c r="A40" s="4" t="s">
        <v>96</v>
      </c>
      <c r="B40" s="18" t="n">
        <v>1.2</v>
      </c>
      <c r="D40" s="2" t="s">
        <v>97</v>
      </c>
    </row>
    <row r="41" customFormat="false" ht="15" hidden="false" customHeight="false" outlineLevel="0" collapsed="false">
      <c r="A41" s="4" t="s">
        <v>98</v>
      </c>
      <c r="B41" s="14" t="n">
        <v>0.06</v>
      </c>
      <c r="D41" s="2" t="s">
        <v>99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30"/>
    <col collapsed="false" customWidth="true" hidden="false" outlineLevel="0" max="3" min="3" style="0" width="12"/>
    <col collapsed="false" customWidth="true" hidden="false" outlineLevel="0" max="4" min="4" style="0" width="9"/>
    <col collapsed="false" customWidth="true" hidden="false" outlineLevel="0" max="5" min="5" style="0" width="12"/>
    <col collapsed="false" customWidth="true" hidden="false" outlineLevel="0" max="6" min="6" style="0" width="10"/>
    <col collapsed="false" customWidth="true" hidden="false" outlineLevel="0" max="7" min="7" style="0" width="12"/>
    <col collapsed="false" customWidth="true" hidden="false" outlineLevel="0" max="9" min="8" style="0" width="14"/>
  </cols>
  <sheetData>
    <row r="1" customFormat="false" ht="17.35" hidden="false" customHeight="false" outlineLevel="0" collapsed="false">
      <c r="A1" s="1" t="s">
        <v>100</v>
      </c>
    </row>
    <row r="2" customFormat="false" ht="15" hidden="false" customHeight="false" outlineLevel="0" collapsed="false">
      <c r="A2" s="2" t="s">
        <v>101</v>
      </c>
    </row>
    <row r="4" customFormat="false" ht="15" hidden="false" customHeight="false" outlineLevel="0" collapsed="false">
      <c r="A4" s="3" t="s">
        <v>102</v>
      </c>
      <c r="B4" s="13"/>
      <c r="C4" s="13"/>
      <c r="D4" s="13"/>
      <c r="E4" s="13"/>
      <c r="F4" s="13"/>
      <c r="G4" s="13"/>
      <c r="H4" s="13"/>
      <c r="I4" s="13"/>
    </row>
    <row r="5" customFormat="false" ht="15" hidden="false" customHeight="false" outlineLevel="0" collapsed="false">
      <c r="A5" s="19" t="s">
        <v>103</v>
      </c>
      <c r="B5" s="19" t="s">
        <v>104</v>
      </c>
      <c r="C5" s="19" t="s">
        <v>105</v>
      </c>
      <c r="D5" s="19" t="s">
        <v>106</v>
      </c>
      <c r="E5" s="19" t="s">
        <v>107</v>
      </c>
      <c r="F5" s="19" t="s">
        <v>108</v>
      </c>
      <c r="G5" s="19" t="s">
        <v>109</v>
      </c>
      <c r="H5" s="19" t="s">
        <v>110</v>
      </c>
      <c r="I5" s="19" t="s">
        <v>111</v>
      </c>
    </row>
    <row r="6" customFormat="false" ht="15" hidden="false" customHeight="false" outlineLevel="0" collapsed="false">
      <c r="A6" s="20" t="s">
        <v>112</v>
      </c>
      <c r="B6" s="20" t="s">
        <v>113</v>
      </c>
      <c r="C6" s="20" t="s">
        <v>114</v>
      </c>
      <c r="D6" s="11" t="n">
        <v>1307</v>
      </c>
      <c r="E6" s="12" t="n">
        <v>4000</v>
      </c>
      <c r="F6" s="21" t="n">
        <v>0</v>
      </c>
      <c r="G6" s="12" t="n">
        <v>0</v>
      </c>
      <c r="H6" s="22" t="n">
        <f aca="false">D6*G6*F6</f>
        <v>0</v>
      </c>
      <c r="I6" s="22" t="n">
        <f aca="false">E6*12</f>
        <v>48000</v>
      </c>
    </row>
    <row r="7" customFormat="false" ht="15" hidden="false" customHeight="false" outlineLevel="0" collapsed="false">
      <c r="A7" s="20" t="s">
        <v>115</v>
      </c>
      <c r="B7" s="20" t="s">
        <v>116</v>
      </c>
      <c r="C7" s="20" t="s">
        <v>117</v>
      </c>
      <c r="D7" s="11" t="n">
        <v>450</v>
      </c>
      <c r="E7" s="12" t="n">
        <v>1900</v>
      </c>
      <c r="F7" s="21" t="n">
        <v>1</v>
      </c>
      <c r="G7" s="12" t="n">
        <v>250</v>
      </c>
      <c r="H7" s="22" t="n">
        <f aca="false">D7*G7*F7</f>
        <v>112500</v>
      </c>
      <c r="I7" s="22" t="n">
        <f aca="false">E7*12</f>
        <v>22800</v>
      </c>
    </row>
    <row r="8" customFormat="false" ht="15" hidden="false" customHeight="false" outlineLevel="0" collapsed="false">
      <c r="A8" s="20" t="s">
        <v>118</v>
      </c>
      <c r="B8" s="20" t="s">
        <v>119</v>
      </c>
      <c r="C8" s="20" t="s">
        <v>114</v>
      </c>
      <c r="D8" s="11" t="n">
        <v>1000</v>
      </c>
      <c r="E8" s="10" t="n">
        <v>4000</v>
      </c>
      <c r="F8" s="21" t="n">
        <v>1</v>
      </c>
      <c r="G8" s="12" t="n">
        <v>400</v>
      </c>
      <c r="H8" s="22" t="n">
        <f aca="false">D8*G8*F8</f>
        <v>400000</v>
      </c>
      <c r="I8" s="22" t="n">
        <f aca="false">E8*12</f>
        <v>48000</v>
      </c>
    </row>
    <row r="9" customFormat="false" ht="15" hidden="false" customHeight="false" outlineLevel="0" collapsed="false">
      <c r="A9" s="20" t="s">
        <v>120</v>
      </c>
      <c r="B9" s="20" t="s">
        <v>121</v>
      </c>
      <c r="C9" s="20" t="s">
        <v>114</v>
      </c>
      <c r="D9" s="11" t="n">
        <v>1000</v>
      </c>
      <c r="E9" s="10" t="n">
        <v>4000</v>
      </c>
      <c r="F9" s="21" t="n">
        <v>1</v>
      </c>
      <c r="G9" s="12" t="n">
        <v>340</v>
      </c>
      <c r="H9" s="22" t="n">
        <f aca="false">D9*G9*F9</f>
        <v>340000</v>
      </c>
      <c r="I9" s="22" t="n">
        <f aca="false">E9*12</f>
        <v>48000</v>
      </c>
    </row>
    <row r="10" customFormat="false" ht="15" hidden="false" customHeight="false" outlineLevel="0" collapsed="false">
      <c r="A10" s="23" t="n">
        <f aca="false">COUNTA(A6:A9)</f>
        <v>4</v>
      </c>
      <c r="B10" s="23" t="s">
        <v>122</v>
      </c>
      <c r="D10" s="24" t="n">
        <f aca="false">SUM(D6:D9)</f>
        <v>3757</v>
      </c>
      <c r="E10" s="25" t="n">
        <f aca="false">SUM(E6:E9)</f>
        <v>13900</v>
      </c>
      <c r="F10" s="23" t="n">
        <f aca="false">SUM(F6:F9)</f>
        <v>3</v>
      </c>
      <c r="H10" s="25" t="n">
        <f aca="false">SUM(H6:H9)</f>
        <v>852500</v>
      </c>
      <c r="I10" s="25" t="n">
        <f aca="false">SUM(I6:I9)</f>
        <v>166800</v>
      </c>
    </row>
    <row r="11" customFormat="false" ht="15" hidden="false" customHeight="false" outlineLevel="0" collapsed="false">
      <c r="B11" s="2" t="s">
        <v>123</v>
      </c>
      <c r="E11" s="26" t="n">
        <f aca="false">E6</f>
        <v>4000</v>
      </c>
    </row>
    <row r="12" customFormat="false" ht="15" hidden="false" customHeight="false" outlineLevel="0" collapsed="false">
      <c r="B12" s="2" t="s">
        <v>124</v>
      </c>
      <c r="D12" s="27" t="n">
        <f aca="false">SUMPRODUCT(D6:D9,F6:F9)</f>
        <v>2450</v>
      </c>
    </row>
    <row r="15" customFormat="false" ht="15" hidden="false" customHeight="false" outlineLevel="0" collapsed="false">
      <c r="A15" s="3" t="s">
        <v>125</v>
      </c>
      <c r="B15" s="13"/>
      <c r="C15" s="13"/>
      <c r="D15" s="13"/>
      <c r="E15" s="13"/>
      <c r="F15" s="13"/>
      <c r="G15" s="13"/>
      <c r="H15" s="13"/>
      <c r="I15" s="13"/>
    </row>
    <row r="16" customFormat="false" ht="15" hidden="false" customHeight="false" outlineLevel="0" collapsed="false">
      <c r="A16" s="19" t="s">
        <v>103</v>
      </c>
      <c r="B16" s="19" t="s">
        <v>104</v>
      </c>
      <c r="C16" s="19" t="s">
        <v>105</v>
      </c>
      <c r="D16" s="19" t="s">
        <v>106</v>
      </c>
      <c r="E16" s="19" t="s">
        <v>107</v>
      </c>
      <c r="F16" s="19" t="s">
        <v>108</v>
      </c>
      <c r="G16" s="19" t="s">
        <v>109</v>
      </c>
      <c r="H16" s="19" t="s">
        <v>110</v>
      </c>
      <c r="I16" s="19" t="s">
        <v>111</v>
      </c>
    </row>
    <row r="17" customFormat="false" ht="15" hidden="false" customHeight="false" outlineLevel="0" collapsed="false">
      <c r="A17" s="20" t="s">
        <v>112</v>
      </c>
      <c r="B17" s="20" t="s">
        <v>113</v>
      </c>
      <c r="C17" s="20" t="s">
        <v>114</v>
      </c>
      <c r="D17" s="11" t="n">
        <v>1265</v>
      </c>
      <c r="E17" s="12" t="n">
        <v>4000</v>
      </c>
      <c r="F17" s="21" t="n">
        <v>0</v>
      </c>
      <c r="G17" s="12" t="n">
        <v>0</v>
      </c>
      <c r="H17" s="22" t="n">
        <f aca="false">D17*G17*F17</f>
        <v>0</v>
      </c>
      <c r="I17" s="22" t="n">
        <f aca="false">E17*12</f>
        <v>48000</v>
      </c>
    </row>
    <row r="18" customFormat="false" ht="15" hidden="false" customHeight="false" outlineLevel="0" collapsed="false">
      <c r="A18" s="20" t="s">
        <v>115</v>
      </c>
      <c r="B18" s="20" t="s">
        <v>116</v>
      </c>
      <c r="C18" s="20" t="s">
        <v>117</v>
      </c>
      <c r="D18" s="11" t="n">
        <v>450</v>
      </c>
      <c r="E18" s="12" t="n">
        <v>1900</v>
      </c>
      <c r="F18" s="21" t="n">
        <v>1</v>
      </c>
      <c r="G18" s="12" t="n">
        <v>250</v>
      </c>
      <c r="H18" s="22" t="n">
        <f aca="false">D18*G18*F18</f>
        <v>112500</v>
      </c>
      <c r="I18" s="22" t="n">
        <f aca="false">E18*12</f>
        <v>22800</v>
      </c>
    </row>
    <row r="19" customFormat="false" ht="15" hidden="false" customHeight="false" outlineLevel="0" collapsed="false">
      <c r="A19" s="20" t="s">
        <v>118</v>
      </c>
      <c r="B19" s="20" t="s">
        <v>119</v>
      </c>
      <c r="C19" s="20" t="s">
        <v>114</v>
      </c>
      <c r="D19" s="11" t="n">
        <v>1000</v>
      </c>
      <c r="E19" s="10" t="n">
        <v>4000</v>
      </c>
      <c r="F19" s="21" t="n">
        <v>1</v>
      </c>
      <c r="G19" s="12" t="n">
        <v>400</v>
      </c>
      <c r="H19" s="22" t="n">
        <f aca="false">D19*G19*F19</f>
        <v>400000</v>
      </c>
      <c r="I19" s="22" t="n">
        <f aca="false">E19*12</f>
        <v>48000</v>
      </c>
    </row>
    <row r="20" customFormat="false" ht="15" hidden="false" customHeight="false" outlineLevel="0" collapsed="false">
      <c r="A20" s="20" t="s">
        <v>120</v>
      </c>
      <c r="B20" s="20" t="s">
        <v>121</v>
      </c>
      <c r="C20" s="20" t="s">
        <v>114</v>
      </c>
      <c r="D20" s="11" t="n">
        <v>1000</v>
      </c>
      <c r="E20" s="10" t="n">
        <v>4000</v>
      </c>
      <c r="F20" s="21" t="n">
        <v>1</v>
      </c>
      <c r="G20" s="12" t="n">
        <v>340</v>
      </c>
      <c r="H20" s="22" t="n">
        <f aca="false">D20*G20*F20</f>
        <v>340000</v>
      </c>
      <c r="I20" s="22" t="n">
        <f aca="false">E20*12</f>
        <v>48000</v>
      </c>
    </row>
    <row r="21" customFormat="false" ht="15" hidden="false" customHeight="false" outlineLevel="0" collapsed="false">
      <c r="A21" s="23" t="n">
        <f aca="false">COUNTA(A17:A20)</f>
        <v>4</v>
      </c>
      <c r="B21" s="23" t="s">
        <v>122</v>
      </c>
      <c r="D21" s="24" t="n">
        <f aca="false">SUM(D17:D20)</f>
        <v>3715</v>
      </c>
      <c r="E21" s="25" t="n">
        <f aca="false">SUM(E17:E20)</f>
        <v>13900</v>
      </c>
      <c r="F21" s="23" t="n">
        <f aca="false">SUM(F17:F20)</f>
        <v>3</v>
      </c>
      <c r="H21" s="25" t="n">
        <f aca="false">SUM(H17:H20)</f>
        <v>852500</v>
      </c>
      <c r="I21" s="25" t="n">
        <f aca="false">SUM(I17:I20)</f>
        <v>166800</v>
      </c>
    </row>
    <row r="22" customFormat="false" ht="15" hidden="false" customHeight="false" outlineLevel="0" collapsed="false">
      <c r="B22" s="2" t="s">
        <v>123</v>
      </c>
      <c r="E22" s="26" t="n">
        <f aca="false">E17</f>
        <v>4000</v>
      </c>
    </row>
    <row r="23" customFormat="false" ht="15" hidden="false" customHeight="false" outlineLevel="0" collapsed="false">
      <c r="B23" s="2" t="s">
        <v>124</v>
      </c>
      <c r="D23" s="27" t="n">
        <f aca="false">SUMPRODUCT(D17:D20,F17:F20)</f>
        <v>2450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0"/>
    <col collapsed="false" customWidth="true" hidden="false" outlineLevel="0" max="4" min="2" style="0" width="18"/>
    <col collapsed="false" customWidth="true" hidden="false" outlineLevel="0" max="5" min="5" style="0" width="70"/>
  </cols>
  <sheetData>
    <row r="1" customFormat="false" ht="17.35" hidden="false" customHeight="false" outlineLevel="0" collapsed="false">
      <c r="A1" s="1" t="s">
        <v>126</v>
      </c>
    </row>
    <row r="2" customFormat="false" ht="15" hidden="false" customHeight="false" outlineLevel="0" collapsed="false">
      <c r="A2" s="2" t="s">
        <v>127</v>
      </c>
    </row>
    <row r="4" customFormat="false" ht="15" hidden="false" customHeight="false" outlineLevel="0" collapsed="false">
      <c r="A4" s="3"/>
      <c r="B4" s="3" t="s">
        <v>2</v>
      </c>
      <c r="C4" s="3" t="s">
        <v>3</v>
      </c>
      <c r="D4" s="3" t="s">
        <v>4</v>
      </c>
      <c r="E4" s="3" t="s">
        <v>128</v>
      </c>
    </row>
    <row r="5" customFormat="false" ht="15" hidden="false" customHeight="false" outlineLevel="0" collapsed="false">
      <c r="A5" s="3" t="s">
        <v>129</v>
      </c>
      <c r="B5" s="13"/>
      <c r="C5" s="13"/>
      <c r="D5" s="13"/>
      <c r="E5" s="13"/>
    </row>
    <row r="6" customFormat="false" ht="15" hidden="false" customHeight="false" outlineLevel="0" collapsed="false">
      <c r="A6" s="4" t="s">
        <v>5</v>
      </c>
      <c r="B6" s="28" t="n">
        <f aca="false">Assumptions!B6</f>
        <v>850000</v>
      </c>
      <c r="C6" s="28" t="n">
        <f aca="false">Assumptions!C6</f>
        <v>850000</v>
      </c>
      <c r="D6" s="28" t="n">
        <f aca="false">B6+C6</f>
        <v>1700000</v>
      </c>
    </row>
    <row r="7" customFormat="false" ht="15" hidden="false" customHeight="false" outlineLevel="0" collapsed="false">
      <c r="A7" s="4" t="s">
        <v>130</v>
      </c>
      <c r="B7" s="28" t="n">
        <f aca="false">B6*Assumptions!$B$13</f>
        <v>12750</v>
      </c>
      <c r="C7" s="28" t="n">
        <f aca="false">C6*Assumptions!$B$13</f>
        <v>12750</v>
      </c>
      <c r="D7" s="28" t="n">
        <f aca="false">B7+C7</f>
        <v>25500</v>
      </c>
    </row>
    <row r="8" customFormat="false" ht="15" hidden="false" customHeight="false" outlineLevel="0" collapsed="false">
      <c r="A8" s="4" t="s">
        <v>131</v>
      </c>
      <c r="B8" s="28" t="n">
        <f aca="false">Assumptions!B7</f>
        <v>35000</v>
      </c>
      <c r="C8" s="28" t="n">
        <f aca="false">Assumptions!C7</f>
        <v>20000</v>
      </c>
      <c r="D8" s="28" t="n">
        <f aca="false">B8+C8</f>
        <v>55000</v>
      </c>
    </row>
    <row r="9" customFormat="false" ht="15" hidden="false" customHeight="false" outlineLevel="0" collapsed="false">
      <c r="A9" s="4" t="s">
        <v>132</v>
      </c>
      <c r="B9" s="28" t="n">
        <f aca="false">B6*Assumptions!$B$14</f>
        <v>637500</v>
      </c>
      <c r="C9" s="28" t="n">
        <f aca="false">C6*Assumptions!$B$14</f>
        <v>637500</v>
      </c>
      <c r="D9" s="28" t="n">
        <f aca="false">B9+C9</f>
        <v>1275000</v>
      </c>
    </row>
    <row r="10" customFormat="false" ht="15" hidden="false" customHeight="false" outlineLevel="0" collapsed="false">
      <c r="A10" s="4" t="s">
        <v>133</v>
      </c>
      <c r="B10" s="28" t="n">
        <f aca="false">B6-B9</f>
        <v>212500</v>
      </c>
      <c r="C10" s="28" t="n">
        <f aca="false">C6-C9</f>
        <v>212500</v>
      </c>
      <c r="D10" s="28" t="n">
        <f aca="false">B10+C10</f>
        <v>425000</v>
      </c>
    </row>
    <row r="11" customFormat="false" ht="15" hidden="false" customHeight="false" outlineLevel="0" collapsed="false">
      <c r="A11" s="4" t="s">
        <v>134</v>
      </c>
      <c r="B11" s="28" t="n">
        <f aca="false">-PMT(Assumptions!$B$15/12,Assumptions!$B$16*12,B9)</f>
        <v>4348.87378535822</v>
      </c>
      <c r="C11" s="28" t="n">
        <f aca="false">-PMT(Assumptions!$B$15/12,Assumptions!$B$16*12,C9)</f>
        <v>4348.87378535822</v>
      </c>
      <c r="D11" s="28" t="n">
        <f aca="false">B11+C11</f>
        <v>8697.74757071645</v>
      </c>
    </row>
    <row r="12" customFormat="false" ht="15" hidden="false" customHeight="false" outlineLevel="0" collapsed="false">
      <c r="A12" s="3" t="s">
        <v>135</v>
      </c>
      <c r="B12" s="13"/>
      <c r="C12" s="13"/>
      <c r="D12" s="13"/>
      <c r="E12" s="13"/>
    </row>
    <row r="13" customFormat="false" ht="15" hidden="false" customHeight="false" outlineLevel="0" collapsed="false">
      <c r="A13" s="4" t="s">
        <v>136</v>
      </c>
      <c r="B13" s="29" t="n">
        <f aca="false">'Rent Roll'!F10</f>
        <v>3</v>
      </c>
      <c r="C13" s="29" t="n">
        <f aca="false">'Rent Roll'!F21</f>
        <v>3</v>
      </c>
      <c r="D13" s="29" t="n">
        <f aca="false">B13+C13</f>
        <v>6</v>
      </c>
    </row>
    <row r="14" customFormat="false" ht="15" hidden="false" customHeight="false" outlineLevel="0" collapsed="false">
      <c r="A14" s="4" t="s">
        <v>124</v>
      </c>
      <c r="B14" s="29" t="n">
        <f aca="false">'Rent Roll'!D12</f>
        <v>2450</v>
      </c>
      <c r="C14" s="29" t="n">
        <f aca="false">'Rent Roll'!D23</f>
        <v>2450</v>
      </c>
      <c r="D14" s="29" t="n">
        <f aca="false">B14+C14</f>
        <v>4900</v>
      </c>
    </row>
    <row r="15" customFormat="false" ht="15" hidden="false" customHeight="false" outlineLevel="0" collapsed="false">
      <c r="A15" s="4" t="s">
        <v>137</v>
      </c>
      <c r="B15" s="28" t="n">
        <f aca="false">'Rent Roll'!H10</f>
        <v>852500</v>
      </c>
      <c r="C15" s="28" t="n">
        <f aca="false">'Rent Roll'!H21</f>
        <v>852500</v>
      </c>
      <c r="D15" s="28" t="n">
        <f aca="false">B15+C15</f>
        <v>1705000</v>
      </c>
    </row>
    <row r="16" customFormat="false" ht="15" hidden="false" customHeight="false" outlineLevel="0" collapsed="false">
      <c r="A16" s="4" t="s">
        <v>138</v>
      </c>
      <c r="B16" s="28" t="n">
        <f aca="false">Assumptions!B9</f>
        <v>55000</v>
      </c>
      <c r="C16" s="28" t="n">
        <f aca="false">Assumptions!C9</f>
        <v>55000</v>
      </c>
      <c r="D16" s="28" t="n">
        <f aca="false">B16+C16</f>
        <v>110000</v>
      </c>
    </row>
    <row r="17" customFormat="false" ht="15" hidden="false" customHeight="false" outlineLevel="0" collapsed="false">
      <c r="A17" s="4" t="s">
        <v>139</v>
      </c>
      <c r="B17" s="28" t="n">
        <f aca="false">(B15+B16)*Assumptions!$B$17</f>
        <v>72600</v>
      </c>
      <c r="C17" s="28" t="n">
        <f aca="false">(C15+C16)*Assumptions!$B$17</f>
        <v>72600</v>
      </c>
      <c r="D17" s="28" t="n">
        <f aca="false">B17+C17</f>
        <v>145200</v>
      </c>
    </row>
    <row r="18" customFormat="false" ht="15" hidden="false" customHeight="false" outlineLevel="0" collapsed="false">
      <c r="A18" s="4" t="s">
        <v>140</v>
      </c>
      <c r="B18" s="28" t="n">
        <f aca="false">B13*Assumptions!B10</f>
        <v>90000</v>
      </c>
      <c r="C18" s="28" t="n">
        <f aca="false">C13*Assumptions!C10</f>
        <v>90000</v>
      </c>
      <c r="D18" s="28" t="n">
        <f aca="false">B18+C18</f>
        <v>180000</v>
      </c>
    </row>
    <row r="19" customFormat="false" ht="15" hidden="false" customHeight="false" outlineLevel="0" collapsed="false">
      <c r="A19" s="4" t="s">
        <v>141</v>
      </c>
      <c r="B19" s="28" t="n">
        <f aca="false">(B15+B16+B17)*Assumptions!$B$18</f>
        <v>98010</v>
      </c>
      <c r="C19" s="28" t="n">
        <f aca="false">(C15+C16+C17)*Assumptions!$B$18</f>
        <v>98010</v>
      </c>
      <c r="D19" s="28" t="n">
        <f aca="false">B19+C19</f>
        <v>196020</v>
      </c>
    </row>
    <row r="20" customFormat="false" ht="15" hidden="false" customHeight="false" outlineLevel="0" collapsed="false">
      <c r="A20" s="23" t="s">
        <v>6</v>
      </c>
      <c r="B20" s="30" t="n">
        <f aca="false">SUM(B15:B19)</f>
        <v>1168110</v>
      </c>
      <c r="C20" s="30" t="n">
        <f aca="false">SUM(C15:C19)</f>
        <v>1168110</v>
      </c>
      <c r="D20" s="30" t="n">
        <f aca="false">B20+C20</f>
        <v>2336220</v>
      </c>
    </row>
    <row r="21" customFormat="false" ht="15" hidden="false" customHeight="false" outlineLevel="0" collapsed="false">
      <c r="A21" s="4" t="s">
        <v>142</v>
      </c>
      <c r="B21" s="28" t="n">
        <f aca="false">IF(B13=0,0,B20/B13)</f>
        <v>389370</v>
      </c>
      <c r="C21" s="28" t="n">
        <f aca="false">IF(C13=0,0,C20/C13)</f>
        <v>389370</v>
      </c>
      <c r="D21" s="28" t="n">
        <f aca="false">IF(D13=0,0,D20/D13)</f>
        <v>389370</v>
      </c>
    </row>
    <row r="22" customFormat="false" ht="15" hidden="false" customHeight="false" outlineLevel="0" collapsed="false">
      <c r="A22" s="4" t="s">
        <v>143</v>
      </c>
      <c r="B22" s="28" t="n">
        <f aca="false">IF(B14=0,0,B20/B14)</f>
        <v>476.779591836735</v>
      </c>
      <c r="C22" s="28" t="n">
        <f aca="false">IF(C14=0,0,C20/C14)</f>
        <v>476.779591836735</v>
      </c>
      <c r="D22" s="28" t="n">
        <f aca="false">IF(D14=0,0,D20/D14)</f>
        <v>476.779591836735</v>
      </c>
    </row>
    <row r="23" customFormat="false" ht="15" hidden="false" customHeight="false" outlineLevel="0" collapsed="false">
      <c r="A23" s="3" t="s">
        <v>144</v>
      </c>
      <c r="B23" s="13"/>
      <c r="C23" s="13"/>
      <c r="D23" s="13"/>
      <c r="E23" s="13"/>
    </row>
    <row r="24" customFormat="false" ht="15" hidden="false" customHeight="false" outlineLevel="0" collapsed="false">
      <c r="A24" s="4" t="s">
        <v>145</v>
      </c>
      <c r="B24" s="28" t="n">
        <f aca="false">B20*Assumptions!$B$21</f>
        <v>934488</v>
      </c>
      <c r="C24" s="28" t="n">
        <f aca="false">C20*Assumptions!$B$21</f>
        <v>934488</v>
      </c>
      <c r="D24" s="28" t="n">
        <f aca="false">B24+C24</f>
        <v>1868976</v>
      </c>
    </row>
    <row r="25" customFormat="false" ht="15" hidden="false" customHeight="false" outlineLevel="0" collapsed="false">
      <c r="A25" s="4" t="s">
        <v>146</v>
      </c>
      <c r="B25" s="28" t="n">
        <f aca="false">B24*Assumptions!$B$22*Assumptions!$B$19/12*0.5+B24*Assumptions!$B$23</f>
        <v>73201.56</v>
      </c>
      <c r="C25" s="28" t="n">
        <f aca="false">C24*Assumptions!$B$22*Assumptions!$B$19/12*0.5+C24*Assumptions!$B$23</f>
        <v>73201.56</v>
      </c>
      <c r="D25" s="28" t="n">
        <f aca="false">B25+C25</f>
        <v>146403.12</v>
      </c>
    </row>
    <row r="26" customFormat="false" ht="15" hidden="false" customHeight="false" outlineLevel="0" collapsed="false">
      <c r="A26" s="4" t="s">
        <v>147</v>
      </c>
      <c r="B26" s="28" t="n">
        <f aca="false">B11*(Assumptions!$B$19+Assumptions!$B$20)</f>
        <v>69581.9805657316</v>
      </c>
      <c r="C26" s="28" t="n">
        <f aca="false">C11*(Assumptions!$B$19+Assumptions!$B$20)</f>
        <v>69581.9805657316</v>
      </c>
      <c r="D26" s="28" t="n">
        <f aca="false">B26+C26</f>
        <v>139163.961131463</v>
      </c>
    </row>
    <row r="27" customFormat="false" ht="15" hidden="false" customHeight="false" outlineLevel="0" collapsed="false">
      <c r="A27" s="4" t="s">
        <v>148</v>
      </c>
      <c r="B27" s="28" t="n">
        <f aca="false">(B6*Assumptions!$B$27+Assumptions!$B$28+Assumptions!$B$29)*(Assumptions!$B$19+Assumptions!$B$20)/12</f>
        <v>19933.3333333333</v>
      </c>
      <c r="C27" s="28" t="n">
        <f aca="false">(C6*Assumptions!$B$27+Assumptions!$B$28+Assumptions!$B$29)*(Assumptions!$B$19+Assumptions!$B$20)/12</f>
        <v>19933.3333333333</v>
      </c>
      <c r="D27" s="28" t="n">
        <f aca="false">B27+C27</f>
        <v>39866.6666666667</v>
      </c>
    </row>
    <row r="28" customFormat="false" ht="15" hidden="false" customHeight="false" outlineLevel="0" collapsed="false">
      <c r="A28" s="4" t="s">
        <v>149</v>
      </c>
      <c r="B28" s="28" t="n">
        <f aca="false">-'Rent Roll'!E11*(Assumptions!$B$19+Assumptions!$B$20-Assumptions!B8)</f>
        <v>-48000</v>
      </c>
      <c r="C28" s="28" t="n">
        <f aca="false">-'Rent Roll'!E22*(Assumptions!$B$19+Assumptions!$B$20-Assumptions!C8)</f>
        <v>-56000</v>
      </c>
      <c r="D28" s="28" t="n">
        <f aca="false">B28+C28</f>
        <v>-104000</v>
      </c>
    </row>
    <row r="29" customFormat="false" ht="15" hidden="false" customHeight="false" outlineLevel="0" collapsed="false">
      <c r="A29" s="23" t="s">
        <v>150</v>
      </c>
      <c r="B29" s="30" t="n">
        <f aca="false">SUM(B25:B28)</f>
        <v>114716.873899065</v>
      </c>
      <c r="C29" s="30" t="n">
        <f aca="false">SUM(C25:C28)</f>
        <v>106716.873899065</v>
      </c>
      <c r="D29" s="30" t="n">
        <f aca="false">B29+C29</f>
        <v>221433.74779813</v>
      </c>
    </row>
    <row r="30" customFormat="false" ht="15" hidden="false" customHeight="false" outlineLevel="0" collapsed="false">
      <c r="A30" s="3" t="s">
        <v>151</v>
      </c>
      <c r="B30" s="13"/>
      <c r="C30" s="13"/>
      <c r="D30" s="13"/>
      <c r="E30" s="13"/>
    </row>
    <row r="31" customFormat="false" ht="15" hidden="false" customHeight="false" outlineLevel="0" collapsed="false">
      <c r="A31" s="23" t="s">
        <v>7</v>
      </c>
      <c r="B31" s="30" t="n">
        <f aca="false">B6+B7+B8+B20+B29</f>
        <v>2180576.87389907</v>
      </c>
      <c r="C31" s="30" t="n">
        <f aca="false">C6+C7+C8+C20+C29</f>
        <v>2157576.87389907</v>
      </c>
      <c r="D31" s="30" t="n">
        <f aca="false">B31+C31</f>
        <v>4338153.74779813</v>
      </c>
    </row>
    <row r="32" customFormat="false" ht="15" hidden="false" customHeight="false" outlineLevel="0" collapsed="false">
      <c r="A32" s="4" t="s">
        <v>152</v>
      </c>
      <c r="B32" s="28" t="n">
        <f aca="false">B31/'Rent Roll'!A10</f>
        <v>545144.218474766</v>
      </c>
      <c r="C32" s="28" t="n">
        <f aca="false">C31/'Rent Roll'!A21</f>
        <v>539394.218474766</v>
      </c>
      <c r="D32" s="28" t="n">
        <f aca="false">D31/('Rent Roll'!A10+'Rent Roll'!A21)</f>
        <v>542269.218474766</v>
      </c>
    </row>
    <row r="33" customFormat="false" ht="15" hidden="false" customHeight="false" outlineLevel="0" collapsed="false">
      <c r="A33" s="23" t="s">
        <v>153</v>
      </c>
      <c r="B33" s="31" t="n">
        <f aca="false">B10+B7+B8+(B20-B24)+B29</f>
        <v>608588.873899065</v>
      </c>
      <c r="C33" s="31" t="n">
        <f aca="false">C10+C7+C8+(C20-C24)+C29</f>
        <v>585588.873899065</v>
      </c>
      <c r="D33" s="31" t="n">
        <f aca="false">B33+C33</f>
        <v>1194177.74779813</v>
      </c>
      <c r="E33" s="2" t="s">
        <v>154</v>
      </c>
    </row>
    <row r="34" customFormat="false" ht="15" hidden="false" customHeight="false" outlineLevel="0" collapsed="false">
      <c r="A34" s="3" t="s">
        <v>155</v>
      </c>
      <c r="B34" s="13"/>
      <c r="C34" s="13"/>
      <c r="D34" s="13"/>
      <c r="E34" s="13"/>
    </row>
    <row r="35" customFormat="false" ht="15" hidden="false" customHeight="false" outlineLevel="0" collapsed="false">
      <c r="A35" s="4" t="s">
        <v>156</v>
      </c>
      <c r="B35" s="28" t="n">
        <f aca="false">'Rent Roll'!I10</f>
        <v>166800</v>
      </c>
      <c r="C35" s="28" t="n">
        <f aca="false">'Rent Roll'!I21</f>
        <v>166800</v>
      </c>
      <c r="D35" s="28" t="n">
        <f aca="false">B35+C35</f>
        <v>333600</v>
      </c>
    </row>
    <row r="36" customFormat="false" ht="15" hidden="false" customHeight="false" outlineLevel="0" collapsed="false">
      <c r="A36" s="4" t="s">
        <v>65</v>
      </c>
      <c r="B36" s="28" t="n">
        <f aca="false">-B35*Assumptions!$B$24</f>
        <v>-10008</v>
      </c>
      <c r="C36" s="28" t="n">
        <f aca="false">-C35*Assumptions!$B$24</f>
        <v>-10008</v>
      </c>
      <c r="D36" s="28" t="n">
        <f aca="false">B36+C36</f>
        <v>-20016</v>
      </c>
    </row>
    <row r="37" customFormat="false" ht="15" hidden="false" customHeight="false" outlineLevel="0" collapsed="false">
      <c r="A37" s="23" t="s">
        <v>157</v>
      </c>
      <c r="B37" s="25" t="n">
        <f aca="false">B35+B36</f>
        <v>156792</v>
      </c>
      <c r="C37" s="25" t="n">
        <f aca="false">C35+C36</f>
        <v>156792</v>
      </c>
      <c r="D37" s="25" t="n">
        <f aca="false">B37+C37</f>
        <v>313584</v>
      </c>
    </row>
    <row r="38" customFormat="false" ht="15" hidden="false" customHeight="false" outlineLevel="0" collapsed="false">
      <c r="A38" s="3" t="s">
        <v>158</v>
      </c>
      <c r="B38" s="13"/>
      <c r="C38" s="13"/>
      <c r="D38" s="13"/>
      <c r="E38" s="13"/>
    </row>
    <row r="39" customFormat="false" ht="15" hidden="false" customHeight="false" outlineLevel="0" collapsed="false">
      <c r="A39" s="4" t="s">
        <v>159</v>
      </c>
      <c r="B39" s="28" t="n">
        <f aca="false">(B6+B8+B20)*Assumptions!$B$27+Assumptions!$B$28</f>
        <v>24887.32</v>
      </c>
      <c r="C39" s="28" t="n">
        <f aca="false">(C6+C8+C20)*Assumptions!$B$27+Assumptions!$B$28</f>
        <v>24707.32</v>
      </c>
      <c r="D39" s="28" t="n">
        <f aca="false">B39+C39</f>
        <v>49594.64</v>
      </c>
      <c r="E39" s="2" t="s">
        <v>160</v>
      </c>
    </row>
    <row r="40" customFormat="false" ht="15" hidden="false" customHeight="false" outlineLevel="0" collapsed="false">
      <c r="A40" s="4" t="s">
        <v>161</v>
      </c>
      <c r="B40" s="28" t="n">
        <f aca="false">Assumptions!$B$29</f>
        <v>4500</v>
      </c>
      <c r="C40" s="28" t="n">
        <f aca="false">Assumptions!$B$29</f>
        <v>4500</v>
      </c>
      <c r="D40" s="28" t="n">
        <f aca="false">B40+C40</f>
        <v>9000</v>
      </c>
    </row>
    <row r="41" customFormat="false" ht="15" hidden="false" customHeight="false" outlineLevel="0" collapsed="false">
      <c r="A41" s="4" t="s">
        <v>162</v>
      </c>
      <c r="B41" s="28" t="n">
        <f aca="false">Assumptions!$B$30*'Rent Roll'!A10*12</f>
        <v>4800</v>
      </c>
      <c r="C41" s="28" t="n">
        <f aca="false">Assumptions!$B$30*'Rent Roll'!A21*12</f>
        <v>4800</v>
      </c>
      <c r="D41" s="28" t="n">
        <f aca="false">B41+C41</f>
        <v>9600</v>
      </c>
    </row>
    <row r="42" customFormat="false" ht="15" hidden="false" customHeight="false" outlineLevel="0" collapsed="false">
      <c r="A42" s="4" t="s">
        <v>163</v>
      </c>
      <c r="B42" s="28" t="n">
        <f aca="false">Assumptions!$B$31</f>
        <v>523</v>
      </c>
      <c r="C42" s="28" t="n">
        <f aca="false">Assumptions!$B$31</f>
        <v>523</v>
      </c>
      <c r="D42" s="28" t="n">
        <f aca="false">B42+C42</f>
        <v>1046</v>
      </c>
    </row>
    <row r="43" customFormat="false" ht="15" hidden="false" customHeight="false" outlineLevel="0" collapsed="false">
      <c r="A43" s="4" t="s">
        <v>164</v>
      </c>
      <c r="B43" s="28" t="n">
        <f aca="false">B37*Assumptions!$B$25</f>
        <v>10975.44</v>
      </c>
      <c r="C43" s="28" t="n">
        <f aca="false">C37*Assumptions!$B$25</f>
        <v>10975.44</v>
      </c>
      <c r="D43" s="28" t="n">
        <f aca="false">B43+C43</f>
        <v>21950.88</v>
      </c>
    </row>
    <row r="44" customFormat="false" ht="15" hidden="false" customHeight="false" outlineLevel="0" collapsed="false">
      <c r="A44" s="4" t="s">
        <v>165</v>
      </c>
      <c r="B44" s="28" t="n">
        <f aca="false">B37*Assumptions!$B$26</f>
        <v>7839.6</v>
      </c>
      <c r="C44" s="28" t="n">
        <f aca="false">C37*Assumptions!$B$26</f>
        <v>7839.6</v>
      </c>
      <c r="D44" s="28" t="n">
        <f aca="false">B44+C44</f>
        <v>15679.2</v>
      </c>
    </row>
    <row r="45" customFormat="false" ht="15" hidden="false" customHeight="false" outlineLevel="0" collapsed="false">
      <c r="A45" s="4" t="s">
        <v>166</v>
      </c>
      <c r="B45" s="28" t="n">
        <f aca="false">Assumptions!$B$32*'Rent Roll'!A10</f>
        <v>1400</v>
      </c>
      <c r="C45" s="28" t="n">
        <f aca="false">Assumptions!$B$32*'Rent Roll'!A21</f>
        <v>1400</v>
      </c>
      <c r="D45" s="28" t="n">
        <f aca="false">B45+C45</f>
        <v>2800</v>
      </c>
    </row>
    <row r="46" customFormat="false" ht="15" hidden="false" customHeight="false" outlineLevel="0" collapsed="false">
      <c r="A46" s="4" t="s">
        <v>167</v>
      </c>
      <c r="B46" s="28" t="n">
        <f aca="false">Assumptions!$B$33</f>
        <v>1500</v>
      </c>
      <c r="C46" s="28" t="n">
        <f aca="false">Assumptions!$B$33</f>
        <v>1500</v>
      </c>
      <c r="D46" s="28" t="n">
        <f aca="false">B46+C46</f>
        <v>3000</v>
      </c>
    </row>
    <row r="47" customFormat="false" ht="15" hidden="false" customHeight="false" outlineLevel="0" collapsed="false">
      <c r="A47" s="23" t="s">
        <v>168</v>
      </c>
      <c r="B47" s="25" t="n">
        <f aca="false">SUM(B39:B46)</f>
        <v>56425.36</v>
      </c>
      <c r="C47" s="25" t="n">
        <f aca="false">SUM(C39:C46)</f>
        <v>56245.36</v>
      </c>
      <c r="D47" s="25" t="n">
        <f aca="false">B47+C47</f>
        <v>112670.72</v>
      </c>
    </row>
    <row r="48" customFormat="false" ht="15" hidden="false" customHeight="false" outlineLevel="0" collapsed="false">
      <c r="A48" s="4" t="s">
        <v>169</v>
      </c>
      <c r="B48" s="32" t="n">
        <f aca="false">IF(B37=0,0,B47/B37)</f>
        <v>0.359873973161896</v>
      </c>
      <c r="C48" s="32" t="n">
        <f aca="false">IF(C37=0,0,C47/C37)</f>
        <v>0.358725955405888</v>
      </c>
      <c r="D48" s="32" t="n">
        <f aca="false">IF(D37=0,0,D47/D37)</f>
        <v>0.359299964283892</v>
      </c>
    </row>
    <row r="49" customFormat="false" ht="15" hidden="false" customHeight="false" outlineLevel="0" collapsed="false">
      <c r="A49" s="23" t="s">
        <v>170</v>
      </c>
      <c r="B49" s="30" t="n">
        <f aca="false">B37-B47</f>
        <v>100366.64</v>
      </c>
      <c r="C49" s="30" t="n">
        <f aca="false">C37-C47</f>
        <v>100546.64</v>
      </c>
      <c r="D49" s="30" t="n">
        <f aca="false">B49+C49</f>
        <v>200913.28</v>
      </c>
    </row>
    <row r="50" customFormat="false" ht="15" hidden="false" customHeight="false" outlineLevel="0" collapsed="false">
      <c r="A50" s="3" t="s">
        <v>171</v>
      </c>
      <c r="B50" s="13"/>
      <c r="C50" s="13"/>
      <c r="D50" s="13"/>
      <c r="E50" s="13"/>
    </row>
    <row r="51" customFormat="false" ht="15" hidden="false" customHeight="false" outlineLevel="0" collapsed="false">
      <c r="A51" s="23" t="s">
        <v>11</v>
      </c>
      <c r="B51" s="25" t="n">
        <f aca="false">IF(Assumptions!$B$34=0,0,B49/Assumptions!$B$34)</f>
        <v>1824848</v>
      </c>
      <c r="C51" s="25" t="n">
        <f aca="false">IF(Assumptions!$B$34=0,0,C49/Assumptions!$B$34)</f>
        <v>1828120.72727273</v>
      </c>
      <c r="D51" s="25" t="n">
        <f aca="false">B51+C51</f>
        <v>3652968.72727273</v>
      </c>
    </row>
    <row r="52" customFormat="false" ht="15" hidden="false" customHeight="false" outlineLevel="0" collapsed="false">
      <c r="A52" s="4" t="s">
        <v>172</v>
      </c>
      <c r="B52" s="28" t="n">
        <f aca="false">B35*Assumptions!$B$36</f>
        <v>2085000</v>
      </c>
      <c r="C52" s="28" t="n">
        <f aca="false">C35*Assumptions!$B$36</f>
        <v>2085000</v>
      </c>
      <c r="D52" s="28" t="n">
        <f aca="false">B52+C52</f>
        <v>4170000</v>
      </c>
    </row>
    <row r="53" customFormat="false" ht="15" hidden="false" customHeight="false" outlineLevel="0" collapsed="false">
      <c r="A53" s="4" t="s">
        <v>173</v>
      </c>
      <c r="B53" s="28" t="n">
        <f aca="false">Assumptions!$B$35*'Rent Roll'!A10</f>
        <v>1900000</v>
      </c>
      <c r="C53" s="28" t="n">
        <f aca="false">Assumptions!$B$35*'Rent Roll'!A21</f>
        <v>1900000</v>
      </c>
      <c r="D53" s="28" t="n">
        <f aca="false">B53+C53</f>
        <v>3800000</v>
      </c>
    </row>
    <row r="54" customFormat="false" ht="15" hidden="false" customHeight="false" outlineLevel="0" collapsed="false">
      <c r="A54" s="4" t="s">
        <v>174</v>
      </c>
      <c r="B54" s="28" t="n">
        <f aca="false">B51/'Rent Roll'!A10</f>
        <v>456212</v>
      </c>
      <c r="C54" s="28" t="n">
        <f aca="false">C51/'Rent Roll'!A21</f>
        <v>457030.181818182</v>
      </c>
      <c r="D54" s="28" t="n">
        <f aca="false">D51/('Rent Roll'!A10+'Rent Roll'!A21)</f>
        <v>456621.090909091</v>
      </c>
    </row>
    <row r="55" customFormat="false" ht="15" hidden="false" customHeight="false" outlineLevel="0" collapsed="false">
      <c r="A55" s="23" t="s">
        <v>175</v>
      </c>
      <c r="B55" s="31" t="n">
        <f aca="false">B51-B31</f>
        <v>-355728.873899065</v>
      </c>
      <c r="C55" s="31" t="n">
        <f aca="false">C51-C31</f>
        <v>-329456.146626338</v>
      </c>
      <c r="D55" s="31" t="n">
        <f aca="false">B55+C55</f>
        <v>-685185.020525403</v>
      </c>
    </row>
    <row r="56" customFormat="false" ht="15" hidden="false" customHeight="false" outlineLevel="0" collapsed="false">
      <c r="A56" s="23" t="s">
        <v>176</v>
      </c>
      <c r="B56" s="33" t="n">
        <f aca="false">IF(B31=0,0,B49/B31)</f>
        <v>0.0460275632569356</v>
      </c>
      <c r="C56" s="33" t="n">
        <f aca="false">IF(C31=0,0,C49/C31)</f>
        <v>0.0466016489221527</v>
      </c>
      <c r="D56" s="33" t="n">
        <f aca="false">IF(D31=0,0,D49/D31)</f>
        <v>0.0463130842474118</v>
      </c>
    </row>
    <row r="57" customFormat="false" ht="15" hidden="false" customHeight="false" outlineLevel="0" collapsed="false">
      <c r="A57" s="4" t="s">
        <v>177</v>
      </c>
      <c r="B57" s="28" t="n">
        <f aca="false">B6+B55</f>
        <v>494271.126100935</v>
      </c>
      <c r="C57" s="28" t="n">
        <f aca="false">C6+C55</f>
        <v>520543.853373662</v>
      </c>
      <c r="D57" s="28" t="n">
        <f aca="false">B57+C57</f>
        <v>1014814.9794746</v>
      </c>
      <c r="E57" s="2" t="s">
        <v>178</v>
      </c>
    </row>
    <row r="58" customFormat="false" ht="15" hidden="false" customHeight="false" outlineLevel="0" collapsed="false">
      <c r="A58" s="4" t="s">
        <v>179</v>
      </c>
      <c r="B58" s="28" t="n">
        <f aca="false">B20+B55</f>
        <v>812381.126100935</v>
      </c>
      <c r="C58" s="28" t="n">
        <f aca="false">C20+C55</f>
        <v>838653.853373662</v>
      </c>
      <c r="D58" s="28" t="n">
        <f aca="false">B58+C58</f>
        <v>1651034.9794746</v>
      </c>
      <c r="E58" s="2" t="s">
        <v>180</v>
      </c>
    </row>
    <row r="59" customFormat="false" ht="15" hidden="false" customHeight="false" outlineLevel="0" collapsed="false">
      <c r="A59" s="4" t="s">
        <v>181</v>
      </c>
      <c r="B59" s="32" t="n">
        <f aca="false">B56-Assumptions!$B$34</f>
        <v>-0.00897243674306444</v>
      </c>
      <c r="C59" s="32" t="n">
        <f aca="false">C56-Assumptions!$B$34</f>
        <v>-0.00839835107784728</v>
      </c>
      <c r="D59" s="32" t="n">
        <f aca="false">D56-Assumptions!$B$34</f>
        <v>-0.00868691575258821</v>
      </c>
      <c r="E59" s="2" t="s">
        <v>182</v>
      </c>
    </row>
    <row r="60" customFormat="false" ht="15" hidden="false" customHeight="false" outlineLevel="0" collapsed="false">
      <c r="A60" s="3" t="s">
        <v>183</v>
      </c>
      <c r="B60" s="13"/>
      <c r="C60" s="13"/>
      <c r="D60" s="13"/>
      <c r="E60" s="13"/>
    </row>
    <row r="61" customFormat="false" ht="15" hidden="false" customHeight="false" outlineLevel="0" collapsed="false">
      <c r="A61" s="4" t="s">
        <v>184</v>
      </c>
      <c r="B61" s="28" t="n">
        <f aca="false">B51*Assumptions!$B$37</f>
        <v>1277393.6</v>
      </c>
      <c r="C61" s="28" t="n">
        <f aca="false">C51*Assumptions!$B$37</f>
        <v>1279684.50909091</v>
      </c>
      <c r="D61" s="28" t="n">
        <f aca="false">B61+C61</f>
        <v>2557078.10909091</v>
      </c>
    </row>
    <row r="62" customFormat="false" ht="15" hidden="false" customHeight="false" outlineLevel="0" collapsed="false">
      <c r="A62" s="4" t="s">
        <v>185</v>
      </c>
      <c r="B62" s="28" t="n">
        <f aca="false">IF(Assumptions!$B$40=0,0,PV(Assumptions!$B$38/12,Assumptions!$B$39*12,-(B49/12)/Assumptions!$B$40))</f>
        <v>1074610.85569537</v>
      </c>
      <c r="C62" s="28" t="n">
        <f aca="false">IF(Assumptions!$B$40=0,0,PV(Assumptions!$B$38/12,Assumptions!$B$39*12,-(C49/12)/Assumptions!$B$40))</f>
        <v>1076538.0892266</v>
      </c>
      <c r="D62" s="28" t="n">
        <f aca="false">B62+C62</f>
        <v>2151148.94492196</v>
      </c>
    </row>
    <row r="63" customFormat="false" ht="15" hidden="false" customHeight="false" outlineLevel="0" collapsed="false">
      <c r="A63" s="23" t="s">
        <v>186</v>
      </c>
      <c r="B63" s="25" t="n">
        <f aca="false">MIN(B61,B62)</f>
        <v>1074610.85569537</v>
      </c>
      <c r="C63" s="25" t="n">
        <f aca="false">MIN(C61,C62)</f>
        <v>1076538.0892266</v>
      </c>
      <c r="D63" s="25" t="n">
        <f aca="false">B63+C63</f>
        <v>2151148.94492196</v>
      </c>
    </row>
    <row r="64" customFormat="false" ht="15" hidden="false" customHeight="false" outlineLevel="0" collapsed="false">
      <c r="A64" s="4" t="s">
        <v>187</v>
      </c>
      <c r="B64" s="28" t="n">
        <f aca="false">-PMT(Assumptions!$B$38/12,Assumptions!$B$39*12,B63)*12</f>
        <v>83638.8666666666</v>
      </c>
      <c r="C64" s="28" t="n">
        <f aca="false">-PMT(Assumptions!$B$38/12,Assumptions!$B$39*12,C63)*12</f>
        <v>83788.8666666666</v>
      </c>
      <c r="D64" s="28" t="n">
        <f aca="false">B64+C64</f>
        <v>167427.733333333</v>
      </c>
    </row>
    <row r="65" customFormat="false" ht="15" hidden="false" customHeight="false" outlineLevel="0" collapsed="false">
      <c r="A65" s="4" t="s">
        <v>188</v>
      </c>
      <c r="B65" s="28" t="n">
        <f aca="false">B9+B24</f>
        <v>1571988</v>
      </c>
      <c r="C65" s="28" t="n">
        <f aca="false">C9+C24</f>
        <v>1571988</v>
      </c>
      <c r="D65" s="28" t="n">
        <f aca="false">B65+C65</f>
        <v>3143976</v>
      </c>
    </row>
    <row r="66" customFormat="false" ht="15" hidden="false" customHeight="false" outlineLevel="0" collapsed="false">
      <c r="A66" s="4" t="s">
        <v>189</v>
      </c>
      <c r="B66" s="28" t="n">
        <f aca="false">B63-B65</f>
        <v>-497377.144304634</v>
      </c>
      <c r="C66" s="28" t="n">
        <f aca="false">C63-C65</f>
        <v>-495449.910773402</v>
      </c>
      <c r="D66" s="28" t="n">
        <f aca="false">B66+C66</f>
        <v>-992827.055078036</v>
      </c>
      <c r="E66" s="2" t="s">
        <v>190</v>
      </c>
    </row>
    <row r="67" customFormat="false" ht="15" hidden="false" customHeight="false" outlineLevel="0" collapsed="false">
      <c r="A67" s="23" t="s">
        <v>191</v>
      </c>
      <c r="B67" s="31" t="n">
        <f aca="false">B33-B66</f>
        <v>1105966.0182037</v>
      </c>
      <c r="C67" s="31" t="n">
        <f aca="false">C33-C66</f>
        <v>1081038.78467247</v>
      </c>
      <c r="D67" s="31" t="n">
        <f aca="false">B67+C67</f>
        <v>2187004.80287617</v>
      </c>
    </row>
    <row r="68" customFormat="false" ht="15" hidden="false" customHeight="false" outlineLevel="0" collapsed="false">
      <c r="A68" s="23" t="s">
        <v>192</v>
      </c>
      <c r="B68" s="25" t="n">
        <f aca="false">B49-B64</f>
        <v>16727.7733333334</v>
      </c>
      <c r="C68" s="25" t="n">
        <f aca="false">C49-C64</f>
        <v>16757.7733333334</v>
      </c>
      <c r="D68" s="25" t="n">
        <f aca="false">B68+C68</f>
        <v>33485.5466666668</v>
      </c>
    </row>
    <row r="69" customFormat="false" ht="15" hidden="false" customHeight="false" outlineLevel="0" collapsed="false">
      <c r="A69" s="4" t="s">
        <v>193</v>
      </c>
      <c r="B69" s="34" t="n">
        <f aca="false">IF(B64=0,0,B49/B64)</f>
        <v>1.2</v>
      </c>
      <c r="C69" s="34" t="n">
        <f aca="false">IF(C64=0,0,C49/C64)</f>
        <v>1.2</v>
      </c>
      <c r="D69" s="34" t="n">
        <f aca="false">IF(D64=0,0,D49/D64)</f>
        <v>1.2</v>
      </c>
    </row>
    <row r="70" customFormat="false" ht="15" hidden="false" customHeight="false" outlineLevel="0" collapsed="false">
      <c r="A70" s="23" t="s">
        <v>194</v>
      </c>
      <c r="B70" s="33" t="n">
        <f aca="false">IF(B67&lt;=0,"all cash out",B68/B67)</f>
        <v>0.0151250337334075</v>
      </c>
      <c r="C70" s="33" t="n">
        <f aca="false">IF(C67&lt;=0,"all cash out",C68/C67)</f>
        <v>0.0155015468186099</v>
      </c>
      <c r="D70" s="33" t="n">
        <f aca="false">IF(D67&lt;=0,"all cash out",D68/D67)</f>
        <v>0.0153111445492161</v>
      </c>
    </row>
    <row r="71" customFormat="false" ht="15" hidden="false" customHeight="false" outlineLevel="0" collapsed="false">
      <c r="A71" s="3" t="s">
        <v>195</v>
      </c>
      <c r="B71" s="13"/>
      <c r="C71" s="13"/>
      <c r="D71" s="13"/>
      <c r="E71" s="13"/>
    </row>
    <row r="72" customFormat="false" ht="15" hidden="false" customHeight="false" outlineLevel="0" collapsed="false">
      <c r="A72" s="4" t="s">
        <v>196</v>
      </c>
      <c r="B72" s="28" t="n">
        <f aca="false">B51*(1-Assumptions!$B$41)-B65</f>
        <v>143369.12</v>
      </c>
      <c r="C72" s="28" t="n">
        <f aca="false">C51*(1-Assumptions!$B$41)-C65</f>
        <v>146445.483636364</v>
      </c>
      <c r="D72" s="28" t="n">
        <f aca="false">B72+C72</f>
        <v>289814.603636364</v>
      </c>
    </row>
    <row r="73" customFormat="false" ht="15" hidden="false" customHeight="false" outlineLevel="0" collapsed="false">
      <c r="A73" s="23" t="s">
        <v>197</v>
      </c>
      <c r="B73" s="25" t="n">
        <f aca="false">B72-B33</f>
        <v>-465219.753899065</v>
      </c>
      <c r="C73" s="25" t="n">
        <f aca="false">C72-C33</f>
        <v>-439143.390262701</v>
      </c>
      <c r="D73" s="25" t="n">
        <f aca="false">B73+C73</f>
        <v>-904363.144161766</v>
      </c>
    </row>
    <row r="74" customFormat="false" ht="15" hidden="false" customHeight="false" outlineLevel="0" collapsed="false">
      <c r="A74" s="4" t="s">
        <v>198</v>
      </c>
      <c r="B74" s="34" t="n">
        <f aca="false">IF(B33=0,0,B72/B33)</f>
        <v>0.235576307995039</v>
      </c>
      <c r="C74" s="34" t="n">
        <f aca="false">IF(C33=0,0,C72/C33)</f>
        <v>0.250082421582357</v>
      </c>
      <c r="D74" s="34" t="n">
        <f aca="false">IF(D33=0,0,D72/D33)</f>
        <v>0.242689670085324</v>
      </c>
    </row>
    <row r="75" customFormat="false" ht="15" hidden="false" customHeight="false" outlineLevel="0" collapsed="false">
      <c r="A75" s="4" t="s">
        <v>199</v>
      </c>
      <c r="B75" s="32" t="n">
        <f aca="false">IF(B31=0,0,(B51*(1-Assumptions!$B$41)-B31)/B31)</f>
        <v>-0.213347100699647</v>
      </c>
      <c r="C75" s="32" t="n">
        <f aca="false">IF(C31=0,0,(C51*(1-Assumptions!$B$41)-C31)/C31)</f>
        <v>-0.203535454785026</v>
      </c>
      <c r="D75" s="32" t="n">
        <f aca="false">IF(D31=0,0,(D51*(1-Assumptions!$B$41)-D31)/D31)</f>
        <v>-0.208467287407871</v>
      </c>
    </row>
    <row r="76" customFormat="false" ht="15" hidden="false" customHeight="false" outlineLevel="0" collapsed="false">
      <c r="A76" s="3" t="s">
        <v>200</v>
      </c>
      <c r="B76" s="13"/>
      <c r="C76" s="13"/>
      <c r="D76" s="13"/>
      <c r="E76" s="13"/>
    </row>
    <row r="77" customFormat="false" ht="15" hidden="false" customHeight="false" outlineLevel="0" collapsed="false">
      <c r="A77" s="4" t="s">
        <v>201</v>
      </c>
      <c r="B77" s="28" t="n">
        <f aca="false">'Rent Roll'!E11*12*(1-Assumptions!$B$24)*(1-Assumptions!$B$25-Assumptions!$B$26)-((B6+B8)*Assumptions!$B$27+Assumptions!$B$28+2000+Assumptions!$B$30*12+Assumptions!$B$31+Assumptions!$B$32+Assumptions!$B$33)</f>
        <v>23262.6</v>
      </c>
      <c r="C77" s="28" t="n">
        <f aca="false">'Rent Roll'!E22*12*(1-Assumptions!$B$24)*(1-Assumptions!$B$25-Assumptions!$B$26)-((C6+C8)*Assumptions!$B$27+Assumptions!$B$28+2000+Assumptions!$B$30*12+Assumptions!$B$31+Assumptions!$B$32+Assumptions!$B$33)</f>
        <v>23442.6</v>
      </c>
      <c r="D77" s="28" t="n">
        <f aca="false">B77+C77</f>
        <v>46705.2</v>
      </c>
      <c r="E77" s="2" t="s">
        <v>202</v>
      </c>
    </row>
    <row r="78" customFormat="false" ht="15" hidden="false" customHeight="false" outlineLevel="0" collapsed="false">
      <c r="A78" s="4" t="s">
        <v>203</v>
      </c>
      <c r="B78" s="32" t="n">
        <f aca="false">IF(B6=0,0,B77/(B6+B8))</f>
        <v>0.0262854237288136</v>
      </c>
      <c r="C78" s="32" t="n">
        <f aca="false">IF(C6=0,0,C77/(C6+C8))</f>
        <v>0.0269455172413793</v>
      </c>
      <c r="D78" s="32" t="n">
        <f aca="false">IF(D6=0,0,D77/(D6+D8))</f>
        <v>0.0266126495726496</v>
      </c>
    </row>
    <row r="79" customFormat="false" ht="15" hidden="false" customHeight="false" outlineLevel="0" collapsed="false">
      <c r="A79" s="4" t="s">
        <v>204</v>
      </c>
      <c r="B79" s="28" t="n">
        <f aca="false">B77-B11*12</f>
        <v>-28923.8854242987</v>
      </c>
      <c r="C79" s="28" t="n">
        <f aca="false">C77-C11*12</f>
        <v>-28743.8854242987</v>
      </c>
      <c r="D79" s="28" t="n">
        <f aca="false">B79+C79</f>
        <v>-57667.7708485974</v>
      </c>
      <c r="E79" s="2" t="s">
        <v>205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7" min="2" style="0" width="15"/>
  </cols>
  <sheetData>
    <row r="1" customFormat="false" ht="17.35" hidden="false" customHeight="false" outlineLevel="0" collapsed="false">
      <c r="A1" s="1" t="s">
        <v>206</v>
      </c>
    </row>
    <row r="2" customFormat="false" ht="15" hidden="false" customHeight="false" outlineLevel="0" collapsed="false">
      <c r="A2" s="2" t="s">
        <v>207</v>
      </c>
    </row>
    <row r="4" customFormat="false" ht="15" hidden="false" customHeight="false" outlineLevel="0" collapsed="false">
      <c r="A4" s="23" t="s">
        <v>208</v>
      </c>
      <c r="B4" s="35" t="n">
        <v>0.85</v>
      </c>
      <c r="C4" s="35" t="n">
        <v>0.925</v>
      </c>
      <c r="D4" s="35" t="n">
        <v>1</v>
      </c>
      <c r="E4" s="35" t="n">
        <v>1.075</v>
      </c>
      <c r="F4" s="35" t="n">
        <v>1.15</v>
      </c>
    </row>
    <row r="5" customFormat="false" ht="15" hidden="false" customHeight="false" outlineLevel="0" collapsed="false">
      <c r="A5" s="35" t="n">
        <v>0.85</v>
      </c>
      <c r="B5" s="22" t="n">
        <f aca="false">IF(Assumptions!$B$34=0,0,('Pro Forma'!D35*$A5*(1-Assumptions!$B$24)*(1-Assumptions!$B$25-Assumptions!$B$26)-('Pro Forma'!D40+'Pro Forma'!D41+'Pro Forma'!D42+'Pro Forma'!D45+'Pro Forma'!D46)-(('Pro Forma'!D6+'Pro Forma'!D8)+'Pro Forma'!D20*B$4)*Assumptions!$B$27-2*Assumptions!$B$28)/Assumptions!$B$34)-(('Pro Forma'!D31-'Pro Forma'!D20)+'Pro Forma'!D20*B$4)</f>
        <v>-1010895.5114345</v>
      </c>
      <c r="C5" s="22" t="n">
        <f aca="false">IF(Assumptions!$B$34=0,0,('Pro Forma'!D35*$A5*(1-Assumptions!$B$24)*(1-Assumptions!$B$25-Assumptions!$B$26)-('Pro Forma'!D40+'Pro Forma'!D41+'Pro Forma'!D42+'Pro Forma'!D45+'Pro Forma'!D46)-(('Pro Forma'!D6+'Pro Forma'!D8)+'Pro Forma'!D20*C$4)*Assumptions!$B$27-2*Assumptions!$B$28)/Assumptions!$B$34)-(('Pro Forma'!D31-'Pro Forma'!D20)+'Pro Forma'!D20*C$4)</f>
        <v>-1224341.06597995</v>
      </c>
      <c r="D5" s="22" t="n">
        <f aca="false">IF(Assumptions!$B$34=0,0,('Pro Forma'!D35*$A5*(1-Assumptions!$B$24)*(1-Assumptions!$B$25-Assumptions!$B$26)-('Pro Forma'!D40+'Pro Forma'!D41+'Pro Forma'!D42+'Pro Forma'!D45+'Pro Forma'!D46)-(('Pro Forma'!D6+'Pro Forma'!D8)+'Pro Forma'!D20*D$4)*Assumptions!$B$27-2*Assumptions!$B$28)/Assumptions!$B$34)-(('Pro Forma'!D31-'Pro Forma'!D20)+'Pro Forma'!D20*D$4)</f>
        <v>-1437786.6205254</v>
      </c>
      <c r="E5" s="22" t="n">
        <f aca="false">IF(Assumptions!$B$34=0,0,('Pro Forma'!D35*$A5*(1-Assumptions!$B$24)*(1-Assumptions!$B$25-Assumptions!$B$26)-('Pro Forma'!D40+'Pro Forma'!D41+'Pro Forma'!D42+'Pro Forma'!D45+'Pro Forma'!D46)-(('Pro Forma'!D6+'Pro Forma'!D8)+'Pro Forma'!D20*E$4)*Assumptions!$B$27-2*Assumptions!$B$28)/Assumptions!$B$34)-(('Pro Forma'!D31-'Pro Forma'!D20)+'Pro Forma'!D20*E$4)</f>
        <v>-1651232.17507086</v>
      </c>
      <c r="F5" s="22" t="n">
        <f aca="false">IF(Assumptions!$B$34=0,0,('Pro Forma'!D35*$A5*(1-Assumptions!$B$24)*(1-Assumptions!$B$25-Assumptions!$B$26)-('Pro Forma'!D40+'Pro Forma'!D41+'Pro Forma'!D42+'Pro Forma'!D45+'Pro Forma'!D46)-(('Pro Forma'!D6+'Pro Forma'!D8)+'Pro Forma'!D20*F$4)*Assumptions!$B$27-2*Assumptions!$B$28)/Assumptions!$B$34)-(('Pro Forma'!D31-'Pro Forma'!D20)+'Pro Forma'!D20*F$4)</f>
        <v>-1864677.72961631</v>
      </c>
    </row>
    <row r="6" customFormat="false" ht="15" hidden="false" customHeight="false" outlineLevel="0" collapsed="false">
      <c r="A6" s="35" t="n">
        <v>0.925</v>
      </c>
      <c r="B6" s="22" t="n">
        <f aca="false">IF(Assumptions!$B$34=0,0,('Pro Forma'!D35*$A6*(1-Assumptions!$B$24)*(1-Assumptions!$B$25-Assumptions!$B$26)-('Pro Forma'!D40+'Pro Forma'!D41+'Pro Forma'!D42+'Pro Forma'!D45+'Pro Forma'!D46)-(('Pro Forma'!D6+'Pro Forma'!D8)+'Pro Forma'!D20*B$4)*Assumptions!$B$27-2*Assumptions!$B$28)/Assumptions!$B$34)-(('Pro Forma'!D31-'Pro Forma'!D20)+'Pro Forma'!D20*B$4)</f>
        <v>-634594.711434494</v>
      </c>
      <c r="C6" s="22" t="n">
        <f aca="false">IF(Assumptions!$B$34=0,0,('Pro Forma'!D35*$A6*(1-Assumptions!$B$24)*(1-Assumptions!$B$25-Assumptions!$B$26)-('Pro Forma'!D40+'Pro Forma'!D41+'Pro Forma'!D42+'Pro Forma'!D45+'Pro Forma'!D46)-(('Pro Forma'!D6+'Pro Forma'!D8)+'Pro Forma'!D20*C$4)*Assumptions!$B$27-2*Assumptions!$B$28)/Assumptions!$B$34)-(('Pro Forma'!D31-'Pro Forma'!D20)+'Pro Forma'!D20*C$4)</f>
        <v>-848040.265979949</v>
      </c>
      <c r="D6" s="22" t="n">
        <f aca="false">IF(Assumptions!$B$34=0,0,('Pro Forma'!D35*$A6*(1-Assumptions!$B$24)*(1-Assumptions!$B$25-Assumptions!$B$26)-('Pro Forma'!D40+'Pro Forma'!D41+'Pro Forma'!D42+'Pro Forma'!D45+'Pro Forma'!D46)-(('Pro Forma'!D6+'Pro Forma'!D8)+'Pro Forma'!D20*D$4)*Assumptions!$B$27-2*Assumptions!$B$28)/Assumptions!$B$34)-(('Pro Forma'!D31-'Pro Forma'!D20)+'Pro Forma'!D20*D$4)</f>
        <v>-1061485.8205254</v>
      </c>
      <c r="E6" s="22" t="n">
        <f aca="false">IF(Assumptions!$B$34=0,0,('Pro Forma'!D35*$A6*(1-Assumptions!$B$24)*(1-Assumptions!$B$25-Assumptions!$B$26)-('Pro Forma'!D40+'Pro Forma'!D41+'Pro Forma'!D42+'Pro Forma'!D45+'Pro Forma'!D46)-(('Pro Forma'!D6+'Pro Forma'!D8)+'Pro Forma'!D20*E$4)*Assumptions!$B$27-2*Assumptions!$B$28)/Assumptions!$B$34)-(('Pro Forma'!D31-'Pro Forma'!D20)+'Pro Forma'!D20*E$4)</f>
        <v>-1274931.37507086</v>
      </c>
      <c r="F6" s="22" t="n">
        <f aca="false">IF(Assumptions!$B$34=0,0,('Pro Forma'!D35*$A6*(1-Assumptions!$B$24)*(1-Assumptions!$B$25-Assumptions!$B$26)-('Pro Forma'!D40+'Pro Forma'!D41+'Pro Forma'!D42+'Pro Forma'!D45+'Pro Forma'!D46)-(('Pro Forma'!D6+'Pro Forma'!D8)+'Pro Forma'!D20*F$4)*Assumptions!$B$27-2*Assumptions!$B$28)/Assumptions!$B$34)-(('Pro Forma'!D31-'Pro Forma'!D20)+'Pro Forma'!D20*F$4)</f>
        <v>-1488376.92961631</v>
      </c>
    </row>
    <row r="7" customFormat="false" ht="15" hidden="false" customHeight="false" outlineLevel="0" collapsed="false">
      <c r="A7" s="35" t="n">
        <v>1</v>
      </c>
      <c r="B7" s="22" t="n">
        <f aca="false">IF(Assumptions!$B$34=0,0,('Pro Forma'!D35*$A7*(1-Assumptions!$B$24)*(1-Assumptions!$B$25-Assumptions!$B$26)-('Pro Forma'!D40+'Pro Forma'!D41+'Pro Forma'!D42+'Pro Forma'!D45+'Pro Forma'!D46)-(('Pro Forma'!D6+'Pro Forma'!D8)+'Pro Forma'!D20*B$4)*Assumptions!$B$27-2*Assumptions!$B$28)/Assumptions!$B$34)-(('Pro Forma'!D31-'Pro Forma'!D20)+'Pro Forma'!D20*B$4)</f>
        <v>-258293.911434494</v>
      </c>
      <c r="C7" s="22" t="n">
        <f aca="false">IF(Assumptions!$B$34=0,0,('Pro Forma'!D35*$A7*(1-Assumptions!$B$24)*(1-Assumptions!$B$25-Assumptions!$B$26)-('Pro Forma'!D40+'Pro Forma'!D41+'Pro Forma'!D42+'Pro Forma'!D45+'Pro Forma'!D46)-(('Pro Forma'!D6+'Pro Forma'!D8)+'Pro Forma'!D20*C$4)*Assumptions!$B$27-2*Assumptions!$B$28)/Assumptions!$B$34)-(('Pro Forma'!D31-'Pro Forma'!D20)+'Pro Forma'!D20*C$4)</f>
        <v>-471739.465979949</v>
      </c>
      <c r="D7" s="22" t="n">
        <f aca="false">IF(Assumptions!$B$34=0,0,('Pro Forma'!D35*$A7*(1-Assumptions!$B$24)*(1-Assumptions!$B$25-Assumptions!$B$26)-('Pro Forma'!D40+'Pro Forma'!D41+'Pro Forma'!D42+'Pro Forma'!D45+'Pro Forma'!D46)-(('Pro Forma'!D6+'Pro Forma'!D8)+'Pro Forma'!D20*D$4)*Assumptions!$B$27-2*Assumptions!$B$28)/Assumptions!$B$34)-(('Pro Forma'!D31-'Pro Forma'!D20)+'Pro Forma'!D20*D$4)</f>
        <v>-685185.020525403</v>
      </c>
      <c r="E7" s="22" t="n">
        <f aca="false">IF(Assumptions!$B$34=0,0,('Pro Forma'!D35*$A7*(1-Assumptions!$B$24)*(1-Assumptions!$B$25-Assumptions!$B$26)-('Pro Forma'!D40+'Pro Forma'!D41+'Pro Forma'!D42+'Pro Forma'!D45+'Pro Forma'!D46)-(('Pro Forma'!D6+'Pro Forma'!D8)+'Pro Forma'!D20*E$4)*Assumptions!$B$27-2*Assumptions!$B$28)/Assumptions!$B$34)-(('Pro Forma'!D31-'Pro Forma'!D20)+'Pro Forma'!D20*E$4)</f>
        <v>-898630.575070858</v>
      </c>
      <c r="F7" s="22" t="n">
        <f aca="false">IF(Assumptions!$B$34=0,0,('Pro Forma'!D35*$A7*(1-Assumptions!$B$24)*(1-Assumptions!$B$25-Assumptions!$B$26)-('Pro Forma'!D40+'Pro Forma'!D41+'Pro Forma'!D42+'Pro Forma'!D45+'Pro Forma'!D46)-(('Pro Forma'!D6+'Pro Forma'!D8)+'Pro Forma'!D20*F$4)*Assumptions!$B$27-2*Assumptions!$B$28)/Assumptions!$B$34)-(('Pro Forma'!D31-'Pro Forma'!D20)+'Pro Forma'!D20*F$4)</f>
        <v>-1112076.12961631</v>
      </c>
    </row>
    <row r="8" customFormat="false" ht="15" hidden="false" customHeight="false" outlineLevel="0" collapsed="false">
      <c r="A8" s="35" t="n">
        <v>1.075</v>
      </c>
      <c r="B8" s="22" t="n">
        <f aca="false">IF(Assumptions!$B$34=0,0,('Pro Forma'!D35*$A8*(1-Assumptions!$B$24)*(1-Assumptions!$B$25-Assumptions!$B$26)-('Pro Forma'!D40+'Pro Forma'!D41+'Pro Forma'!D42+'Pro Forma'!D45+'Pro Forma'!D46)-(('Pro Forma'!D6+'Pro Forma'!D8)+'Pro Forma'!D20*B$4)*Assumptions!$B$27-2*Assumptions!$B$28)/Assumptions!$B$34)-(('Pro Forma'!D31-'Pro Forma'!D20)+'Pro Forma'!D20*B$4)</f>
        <v>118006.888565506</v>
      </c>
      <c r="C8" s="22" t="n">
        <f aca="false">IF(Assumptions!$B$34=0,0,('Pro Forma'!D35*$A8*(1-Assumptions!$B$24)*(1-Assumptions!$B$25-Assumptions!$B$26)-('Pro Forma'!D40+'Pro Forma'!D41+'Pro Forma'!D42+'Pro Forma'!D45+'Pro Forma'!D46)-(('Pro Forma'!D6+'Pro Forma'!D8)+'Pro Forma'!D20*C$4)*Assumptions!$B$27-2*Assumptions!$B$28)/Assumptions!$B$34)-(('Pro Forma'!D31-'Pro Forma'!D20)+'Pro Forma'!D20*C$4)</f>
        <v>-95438.6659799488</v>
      </c>
      <c r="D8" s="22" t="n">
        <f aca="false">IF(Assumptions!$B$34=0,0,('Pro Forma'!D35*$A8*(1-Assumptions!$B$24)*(1-Assumptions!$B$25-Assumptions!$B$26)-('Pro Forma'!D40+'Pro Forma'!D41+'Pro Forma'!D42+'Pro Forma'!D45+'Pro Forma'!D46)-(('Pro Forma'!D6+'Pro Forma'!D8)+'Pro Forma'!D20*D$4)*Assumptions!$B$27-2*Assumptions!$B$28)/Assumptions!$B$34)-(('Pro Forma'!D31-'Pro Forma'!D20)+'Pro Forma'!D20*D$4)</f>
        <v>-308884.220525404</v>
      </c>
      <c r="E8" s="22" t="n">
        <f aca="false">IF(Assumptions!$B$34=0,0,('Pro Forma'!D35*$A8*(1-Assumptions!$B$24)*(1-Assumptions!$B$25-Assumptions!$B$26)-('Pro Forma'!D40+'Pro Forma'!D41+'Pro Forma'!D42+'Pro Forma'!D45+'Pro Forma'!D46)-(('Pro Forma'!D6+'Pro Forma'!D8)+'Pro Forma'!D20*E$4)*Assumptions!$B$27-2*Assumptions!$B$28)/Assumptions!$B$34)-(('Pro Forma'!D31-'Pro Forma'!D20)+'Pro Forma'!D20*E$4)</f>
        <v>-522329.775070858</v>
      </c>
      <c r="F8" s="22" t="n">
        <f aca="false">IF(Assumptions!$B$34=0,0,('Pro Forma'!D35*$A8*(1-Assumptions!$B$24)*(1-Assumptions!$B$25-Assumptions!$B$26)-('Pro Forma'!D40+'Pro Forma'!D41+'Pro Forma'!D42+'Pro Forma'!D45+'Pro Forma'!D46)-(('Pro Forma'!D6+'Pro Forma'!D8)+'Pro Forma'!D20*F$4)*Assumptions!$B$27-2*Assumptions!$B$28)/Assumptions!$B$34)-(('Pro Forma'!D31-'Pro Forma'!D20)+'Pro Forma'!D20*F$4)</f>
        <v>-735775.329616312</v>
      </c>
    </row>
    <row r="9" customFormat="false" ht="15" hidden="false" customHeight="false" outlineLevel="0" collapsed="false">
      <c r="A9" s="35" t="n">
        <v>1.15</v>
      </c>
      <c r="B9" s="22" t="n">
        <f aca="false">IF(Assumptions!$B$34=0,0,('Pro Forma'!D35*$A9*(1-Assumptions!$B$24)*(1-Assumptions!$B$25-Assumptions!$B$26)-('Pro Forma'!D40+'Pro Forma'!D41+'Pro Forma'!D42+'Pro Forma'!D45+'Pro Forma'!D46)-(('Pro Forma'!D6+'Pro Forma'!D8)+'Pro Forma'!D20*B$4)*Assumptions!$B$27-2*Assumptions!$B$28)/Assumptions!$B$34)-(('Pro Forma'!D31-'Pro Forma'!D20)+'Pro Forma'!D20*B$4)</f>
        <v>494307.688565505</v>
      </c>
      <c r="C9" s="22" t="n">
        <f aca="false">IF(Assumptions!$B$34=0,0,('Pro Forma'!D35*$A9*(1-Assumptions!$B$24)*(1-Assumptions!$B$25-Assumptions!$B$26)-('Pro Forma'!D40+'Pro Forma'!D41+'Pro Forma'!D42+'Pro Forma'!D45+'Pro Forma'!D46)-(('Pro Forma'!D6+'Pro Forma'!D8)+'Pro Forma'!D20*C$4)*Assumptions!$B$27-2*Assumptions!$B$28)/Assumptions!$B$34)-(('Pro Forma'!D31-'Pro Forma'!D20)+'Pro Forma'!D20*C$4)</f>
        <v>280862.13402005</v>
      </c>
      <c r="D9" s="22" t="n">
        <f aca="false">IF(Assumptions!$B$34=0,0,('Pro Forma'!D35*$A9*(1-Assumptions!$B$24)*(1-Assumptions!$B$25-Assumptions!$B$26)-('Pro Forma'!D40+'Pro Forma'!D41+'Pro Forma'!D42+'Pro Forma'!D45+'Pro Forma'!D46)-(('Pro Forma'!D6+'Pro Forma'!D8)+'Pro Forma'!D20*D$4)*Assumptions!$B$27-2*Assumptions!$B$28)/Assumptions!$B$34)-(('Pro Forma'!D31-'Pro Forma'!D20)+'Pro Forma'!D20*D$4)</f>
        <v>67416.5794745954</v>
      </c>
      <c r="E9" s="22" t="n">
        <f aca="false">IF(Assumptions!$B$34=0,0,('Pro Forma'!D35*$A9*(1-Assumptions!$B$24)*(1-Assumptions!$B$25-Assumptions!$B$26)-('Pro Forma'!D40+'Pro Forma'!D41+'Pro Forma'!D42+'Pro Forma'!D45+'Pro Forma'!D46)-(('Pro Forma'!D6+'Pro Forma'!D8)+'Pro Forma'!D20*E$4)*Assumptions!$B$27-2*Assumptions!$B$28)/Assumptions!$B$34)-(('Pro Forma'!D31-'Pro Forma'!D20)+'Pro Forma'!D20*E$4)</f>
        <v>-146028.975070859</v>
      </c>
      <c r="F9" s="22" t="n">
        <f aca="false">IF(Assumptions!$B$34=0,0,('Pro Forma'!D35*$A9*(1-Assumptions!$B$24)*(1-Assumptions!$B$25-Assumptions!$B$26)-('Pro Forma'!D40+'Pro Forma'!D41+'Pro Forma'!D42+'Pro Forma'!D45+'Pro Forma'!D46)-(('Pro Forma'!D6+'Pro Forma'!D8)+'Pro Forma'!D20*F$4)*Assumptions!$B$27-2*Assumptions!$B$28)/Assumptions!$B$34)-(('Pro Forma'!D31-'Pro Forma'!D20)+'Pro Forma'!D20*F$4)</f>
        <v>-359474.529616313</v>
      </c>
    </row>
    <row r="11" customFormat="false" ht="15" hidden="false" customHeight="false" outlineLevel="0" collapsed="false">
      <c r="A11" s="2" t="s">
        <v>209</v>
      </c>
    </row>
    <row r="12" customFormat="false" ht="15" hidden="false" customHeight="false" outlineLevel="0" collapsed="false">
      <c r="A12" s="0" t="s">
        <v>210</v>
      </c>
      <c r="B12" s="5" t="n">
        <f aca="false">'Pro Forma'!D55</f>
        <v>-685185.020525403</v>
      </c>
    </row>
    <row r="13" customFormat="false" ht="15" hidden="false" customHeight="false" outlineLevel="0" collapsed="false">
      <c r="A13" s="0" t="s">
        <v>211</v>
      </c>
      <c r="B13" s="26" t="n">
        <f aca="false">D7</f>
        <v>-685185.020525403</v>
      </c>
    </row>
    <row r="14" customFormat="false" ht="15" hidden="false" customHeight="false" outlineLevel="0" collapsed="false">
      <c r="A14" s="0" t="s">
        <v>212</v>
      </c>
      <c r="B14" s="26" t="n">
        <f aca="false">B12-B13</f>
        <v>0</v>
      </c>
    </row>
    <row r="17" customFormat="false" ht="15" hidden="false" customHeight="false" outlineLevel="0" collapsed="false">
      <c r="A17" s="23" t="s">
        <v>213</v>
      </c>
    </row>
    <row r="18" customFormat="false" ht="15" hidden="false" customHeight="false" outlineLevel="0" collapsed="false">
      <c r="B18" s="35" t="n">
        <v>0.045</v>
      </c>
      <c r="C18" s="35" t="n">
        <v>0.05</v>
      </c>
      <c r="D18" s="35" t="n">
        <v>0.055</v>
      </c>
      <c r="E18" s="35" t="n">
        <v>0.06</v>
      </c>
      <c r="F18" s="35" t="n">
        <v>0.065</v>
      </c>
    </row>
    <row r="19" customFormat="false" ht="15" hidden="false" customHeight="false" outlineLevel="0" collapsed="false">
      <c r="A19" s="0" t="s">
        <v>214</v>
      </c>
      <c r="B19" s="26" t="n">
        <f aca="false">IF(B$18=0,0,'Pro Forma'!D49/B$18)</f>
        <v>4464739.55555556</v>
      </c>
      <c r="C19" s="26" t="n">
        <f aca="false">IF(C$18=0,0,'Pro Forma'!D49/C$18)</f>
        <v>4018265.6</v>
      </c>
      <c r="D19" s="26" t="n">
        <f aca="false">IF(D$18=0,0,'Pro Forma'!D49/D$18)</f>
        <v>3652968.72727273</v>
      </c>
      <c r="E19" s="26" t="n">
        <f aca="false">IF(E$18=0,0,'Pro Forma'!D49/E$18)</f>
        <v>3348554.66666667</v>
      </c>
      <c r="F19" s="26" t="n">
        <f aca="false">IF(F$18=0,0,'Pro Forma'!D49/F$18)</f>
        <v>3090973.53846154</v>
      </c>
    </row>
    <row r="20" customFormat="false" ht="15" hidden="false" customHeight="false" outlineLevel="0" collapsed="false">
      <c r="A20" s="0" t="s">
        <v>215</v>
      </c>
      <c r="B20" s="26" t="n">
        <f aca="false">B19-'Pro Forma'!D31</f>
        <v>126585.807757426</v>
      </c>
      <c r="C20" s="26" t="n">
        <f aca="false">C19-'Pro Forma'!D31</f>
        <v>-319888.14779813</v>
      </c>
      <c r="D20" s="26" t="n">
        <f aca="false">D19-'Pro Forma'!D31</f>
        <v>-685185.020525403</v>
      </c>
      <c r="E20" s="26" t="n">
        <f aca="false">E19-'Pro Forma'!D31</f>
        <v>-989599.081131463</v>
      </c>
      <c r="F20" s="26" t="n">
        <f aca="false">F19-'Pro Forma'!D31</f>
        <v>-1247180.20933659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40"/>
  </cols>
  <sheetData>
    <row r="1" customFormat="false" ht="17.35" hidden="false" customHeight="false" outlineLevel="0" collapsed="false">
      <c r="A1" s="1" t="s">
        <v>216</v>
      </c>
    </row>
    <row r="3" customFormat="false" ht="15" hidden="false" customHeight="false" outlineLevel="0" collapsed="false">
      <c r="A3" s="36"/>
      <c r="B3" s="36" t="s">
        <v>102</v>
      </c>
      <c r="C3" s="36" t="s">
        <v>125</v>
      </c>
    </row>
    <row r="4" customFormat="false" ht="15" hidden="false" customHeight="false" outlineLevel="0" collapsed="false">
      <c r="A4" s="37" t="s">
        <v>217</v>
      </c>
      <c r="B4" s="37" t="s">
        <v>218</v>
      </c>
      <c r="C4" s="37" t="s">
        <v>219</v>
      </c>
    </row>
    <row r="5" customFormat="false" ht="15" hidden="false" customHeight="false" outlineLevel="0" collapsed="false">
      <c r="A5" s="37" t="s">
        <v>220</v>
      </c>
      <c r="B5" s="37" t="s">
        <v>221</v>
      </c>
      <c r="C5" s="37" t="s">
        <v>222</v>
      </c>
    </row>
    <row r="6" customFormat="false" ht="15" hidden="false" customHeight="false" outlineLevel="0" collapsed="false">
      <c r="A6" s="37" t="s">
        <v>223</v>
      </c>
      <c r="B6" s="37" t="s">
        <v>224</v>
      </c>
      <c r="C6" s="37" t="s">
        <v>224</v>
      </c>
    </row>
    <row r="7" customFormat="false" ht="23.85" hidden="false" customHeight="false" outlineLevel="0" collapsed="false">
      <c r="A7" s="37" t="s">
        <v>225</v>
      </c>
      <c r="B7" s="37" t="s">
        <v>226</v>
      </c>
      <c r="C7" s="37" t="s">
        <v>226</v>
      </c>
    </row>
    <row r="8" customFormat="false" ht="15" hidden="false" customHeight="false" outlineLevel="0" collapsed="false">
      <c r="A8" s="37" t="s">
        <v>227</v>
      </c>
      <c r="B8" s="37" t="s">
        <v>228</v>
      </c>
      <c r="C8" s="37" t="s">
        <v>229</v>
      </c>
    </row>
    <row r="9" customFormat="false" ht="15" hidden="false" customHeight="false" outlineLevel="0" collapsed="false">
      <c r="A9" s="37" t="s">
        <v>230</v>
      </c>
      <c r="B9" s="37" t="s">
        <v>231</v>
      </c>
      <c r="C9" s="37" t="s">
        <v>231</v>
      </c>
    </row>
    <row r="10" customFormat="false" ht="15" hidden="false" customHeight="false" outlineLevel="0" collapsed="false">
      <c r="A10" s="37" t="s">
        <v>232</v>
      </c>
      <c r="B10" s="37" t="s">
        <v>233</v>
      </c>
      <c r="C10" s="37" t="s">
        <v>233</v>
      </c>
    </row>
    <row r="11" customFormat="false" ht="15" hidden="false" customHeight="false" outlineLevel="0" collapsed="false">
      <c r="A11" s="37" t="s">
        <v>234</v>
      </c>
      <c r="B11" s="37" t="s">
        <v>112</v>
      </c>
      <c r="C11" s="37" t="s">
        <v>112</v>
      </c>
    </row>
    <row r="12" customFormat="false" ht="23.85" hidden="false" customHeight="false" outlineLevel="0" collapsed="false">
      <c r="A12" s="37" t="s">
        <v>235</v>
      </c>
      <c r="B12" s="37" t="s">
        <v>236</v>
      </c>
      <c r="C12" s="37" t="s">
        <v>237</v>
      </c>
    </row>
    <row r="13" customFormat="false" ht="15" hidden="false" customHeight="false" outlineLevel="0" collapsed="false">
      <c r="A13" s="37" t="s">
        <v>238</v>
      </c>
      <c r="B13" s="37" t="s">
        <v>239</v>
      </c>
      <c r="C13" s="37" t="s">
        <v>240</v>
      </c>
    </row>
    <row r="14" customFormat="false" ht="15" hidden="false" customHeight="false" outlineLevel="0" collapsed="false">
      <c r="A14" s="37" t="s">
        <v>241</v>
      </c>
      <c r="B14" s="37" t="s">
        <v>242</v>
      </c>
      <c r="C14" s="37" t="s">
        <v>243</v>
      </c>
    </row>
    <row r="15" customFormat="false" ht="15" hidden="false" customHeight="false" outlineLevel="0" collapsed="false">
      <c r="A15" s="37" t="s">
        <v>244</v>
      </c>
      <c r="B15" s="37" t="s">
        <v>245</v>
      </c>
      <c r="C15" s="37" t="s">
        <v>245</v>
      </c>
    </row>
    <row r="16" customFormat="false" ht="15" hidden="false" customHeight="false" outlineLevel="0" collapsed="false">
      <c r="A16" s="37" t="s">
        <v>246</v>
      </c>
      <c r="B16" s="37" t="s">
        <v>247</v>
      </c>
      <c r="C16" s="37" t="s">
        <v>247</v>
      </c>
    </row>
    <row r="17" customFormat="false" ht="15" hidden="false" customHeight="false" outlineLevel="0" collapsed="false">
      <c r="A17" s="37" t="s">
        <v>248</v>
      </c>
      <c r="B17" s="37" t="s">
        <v>249</v>
      </c>
      <c r="C17" s="37" t="s">
        <v>249</v>
      </c>
    </row>
    <row r="18" customFormat="false" ht="15" hidden="false" customHeight="false" outlineLevel="0" collapsed="false">
      <c r="A18" s="37" t="s">
        <v>250</v>
      </c>
      <c r="B18" s="37" t="s">
        <v>251</v>
      </c>
      <c r="C18" s="37" t="s">
        <v>251</v>
      </c>
    </row>
    <row r="19" customFormat="false" ht="46.25" hidden="false" customHeight="false" outlineLevel="0" collapsed="false">
      <c r="A19" s="37" t="s">
        <v>252</v>
      </c>
      <c r="B19" s="37" t="s">
        <v>253</v>
      </c>
      <c r="C19" s="37" t="s">
        <v>254</v>
      </c>
    </row>
    <row r="20" customFormat="false" ht="23.85" hidden="false" customHeight="false" outlineLevel="0" collapsed="false">
      <c r="A20" s="37" t="s">
        <v>255</v>
      </c>
      <c r="B20" s="37" t="s">
        <v>256</v>
      </c>
      <c r="C20" s="37" t="s">
        <v>257</v>
      </c>
    </row>
    <row r="21" customFormat="false" ht="23.85" hidden="false" customHeight="false" outlineLevel="0" collapsed="false">
      <c r="A21" s="37" t="s">
        <v>258</v>
      </c>
      <c r="B21" s="37" t="s">
        <v>259</v>
      </c>
      <c r="C21" s="37" t="s">
        <v>259</v>
      </c>
    </row>
    <row r="22" customFormat="false" ht="23.85" hidden="false" customHeight="false" outlineLevel="0" collapsed="false">
      <c r="A22" s="37" t="s">
        <v>260</v>
      </c>
      <c r="B22" s="37" t="s">
        <v>261</v>
      </c>
      <c r="C22" s="37" t="s">
        <v>262</v>
      </c>
    </row>
    <row r="23" customFormat="false" ht="23.85" hidden="false" customHeight="false" outlineLevel="0" collapsed="false">
      <c r="A23" s="37" t="s">
        <v>263</v>
      </c>
      <c r="B23" s="37" t="s">
        <v>264</v>
      </c>
      <c r="C23" s="37" t="s">
        <v>264</v>
      </c>
    </row>
    <row r="24" customFormat="false" ht="15" hidden="false" customHeight="false" outlineLevel="0" collapsed="false">
      <c r="A24" s="37" t="s">
        <v>265</v>
      </c>
      <c r="B24" s="37" t="s">
        <v>266</v>
      </c>
      <c r="C24" s="37" t="s">
        <v>267</v>
      </c>
    </row>
    <row r="25" customFormat="false" ht="15" hidden="false" customHeight="false" outlineLevel="0" collapsed="false">
      <c r="A25" s="37" t="s">
        <v>268</v>
      </c>
      <c r="B25" s="37" t="s">
        <v>269</v>
      </c>
      <c r="C25" s="37" t="s">
        <v>270</v>
      </c>
    </row>
    <row r="26" customFormat="false" ht="15" hidden="false" customHeight="false" outlineLevel="0" collapsed="false">
      <c r="A26" s="37" t="s">
        <v>271</v>
      </c>
      <c r="B26" s="37" t="s">
        <v>272</v>
      </c>
      <c r="C26" s="37" t="s">
        <v>272</v>
      </c>
    </row>
    <row r="27" customFormat="false" ht="15" hidden="false" customHeight="false" outlineLevel="0" collapsed="false">
      <c r="A27" s="37" t="s">
        <v>273</v>
      </c>
      <c r="B27" s="37" t="s">
        <v>274</v>
      </c>
      <c r="C27" s="37" t="s">
        <v>274</v>
      </c>
    </row>
    <row r="28" customFormat="false" ht="23.85" hidden="false" customHeight="false" outlineLevel="0" collapsed="false">
      <c r="A28" s="37" t="s">
        <v>275</v>
      </c>
      <c r="B28" s="37" t="s">
        <v>276</v>
      </c>
      <c r="C28" s="37" t="s">
        <v>277</v>
      </c>
    </row>
    <row r="29" customFormat="false" ht="15" hidden="false" customHeight="false" outlineLevel="0" collapsed="false">
      <c r="A29" s="37" t="s">
        <v>278</v>
      </c>
      <c r="B29" s="37" t="s">
        <v>279</v>
      </c>
      <c r="C29" s="37" t="s">
        <v>280</v>
      </c>
    </row>
    <row r="30" customFormat="false" ht="35.05" hidden="false" customHeight="false" outlineLevel="0" collapsed="false">
      <c r="A30" s="37" t="s">
        <v>281</v>
      </c>
      <c r="B30" s="37" t="s">
        <v>282</v>
      </c>
      <c r="C30" s="37" t="s">
        <v>277</v>
      </c>
    </row>
    <row r="31" customFormat="false" ht="15" hidden="false" customHeight="false" outlineLevel="0" collapsed="false">
      <c r="A31" s="37" t="s">
        <v>283</v>
      </c>
      <c r="B31" s="37" t="s">
        <v>284</v>
      </c>
      <c r="C31" s="37" t="s">
        <v>284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LibreOffice/26.8.0.3$MacOSX_AARCH64 LibreOffice_project/bce0998afefdbc355585ca324285661a2170ba77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2026-09-09T22:11:34Z</dcterms:created>
  <dc:creator>openpyxl</dc:creator>
  <dc:description/>
  <dc:language>en-US</dc:language>
  <cp:lastModifiedBy/>
  <dcterms:modified xsi:type="dcterms:W3CDTF">2026-09-09T22:11:34Z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